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5195" windowHeight="8145"/>
  </bookViews>
  <sheets>
    <sheet name="Medien und Gesellschaft" sheetId="10" r:id="rId1"/>
    <sheet name="Ernährung und Umwelt" sheetId="9" r:id="rId2"/>
    <sheet name="Sport, Gesundheit, Fitness" sheetId="11" r:id="rId3"/>
    <sheet name="Seel. u. org. Entwicklung" sheetId="12" r:id="rId4"/>
    <sheet name="Technik, Medien und Wirtschaft" sheetId="21" r:id="rId5"/>
    <sheet name="System Erde" sheetId="14" r:id="rId6"/>
    <sheet name="Biologie- u. Umwelttechnik" sheetId="19" r:id="rId7"/>
    <sheet name="Gesellschaft-Geschichte-Kunst" sheetId="15" r:id="rId8"/>
    <sheet name="Kultur" sheetId="18" r:id="rId9"/>
    <sheet name="Bilinguales Profil" sheetId="16" r:id="rId10"/>
    <sheet name="Internationale Angelegenheiten" sheetId="20" r:id="rId11"/>
  </sheets>
  <definedNames>
    <definedName name="Fremdsprache" localSheetId="9">'Bilinguales Profil'!$T$3:$T$6</definedName>
    <definedName name="Fremdsprache" localSheetId="6">'Biologie- u. Umwelttechnik'!$T$3:$T$6</definedName>
    <definedName name="Fremdsprache" localSheetId="1">'Ernährung und Umwelt'!$T$3:$T$6</definedName>
    <definedName name="Fremdsprache" localSheetId="7">'Gesellschaft-Geschichte-Kunst'!$T$3:$T$6</definedName>
    <definedName name="Fremdsprache" localSheetId="10">'Internationale Angelegenheiten'!$T$3:$T$6</definedName>
    <definedName name="Fremdsprache" localSheetId="8">Kultur!$T$3:$T$6</definedName>
    <definedName name="Fremdsprache" localSheetId="0">'Medien und Gesellschaft'!$T$3:$T$6</definedName>
    <definedName name="Fremdsprache" localSheetId="3">'Seel. u. org. Entwicklung'!$T$3:$T$6</definedName>
    <definedName name="Fremdsprache" localSheetId="2">'Sport, Gesundheit, Fitness'!$T$3:$T$6</definedName>
    <definedName name="Fremdsprache" localSheetId="5">'System Erde'!$T$3:$T$6</definedName>
    <definedName name="Fremdsprache" localSheetId="4">'Technik, Medien und Wirtschaft'!$T$3:$T$6</definedName>
    <definedName name="Fremdsprache">#REF!</definedName>
    <definedName name="Fremdsprache1" localSheetId="9">'Bilinguales Profil'!$T$3:$T$6</definedName>
    <definedName name="Fremdsprache1" localSheetId="6">'Biologie- u. Umwelttechnik'!$T$3:$T$6</definedName>
    <definedName name="Fremdsprache1" localSheetId="1">'Ernährung und Umwelt'!$T$3:$T$6</definedName>
    <definedName name="Fremdsprache1" localSheetId="7">'Gesellschaft-Geschichte-Kunst'!$T$3:$T$6</definedName>
    <definedName name="Fremdsprache1" localSheetId="10">'Internationale Angelegenheiten'!$T$3:$T$6</definedName>
    <definedName name="Fremdsprache1" localSheetId="8">Kultur!$T$3:$T$6</definedName>
    <definedName name="Fremdsprache1" localSheetId="0">'Medien und Gesellschaft'!$T$3:$T$6</definedName>
    <definedName name="Fremdsprache1" localSheetId="3">'Seel. u. org. Entwicklung'!$T$3:$T$6</definedName>
    <definedName name="Fremdsprache1" localSheetId="2">'Sport, Gesundheit, Fitness'!$T$3:$T$6</definedName>
    <definedName name="Fremdsprache1" localSheetId="5">'System Erde'!$T$3:$T$6</definedName>
    <definedName name="Fremdsprache1" localSheetId="4">'Technik, Medien und Wirtschaft'!$T$3:$T$6</definedName>
    <definedName name="Fremdsprache1">#REF!</definedName>
    <definedName name="wgf.Fremdsprache" localSheetId="9">'Bilinguales Profil'!$T$3:$T$6</definedName>
    <definedName name="wgf.Fremdsprache" localSheetId="6">'Biologie- u. Umwelttechnik'!$T$3:$T$6</definedName>
    <definedName name="wgf.Fremdsprache" localSheetId="1">'Ernährung und Umwelt'!$T$3:$T$6</definedName>
    <definedName name="wgf.Fremdsprache" localSheetId="7">'Gesellschaft-Geschichte-Kunst'!$T$3:$T$6</definedName>
    <definedName name="wgf.Fremdsprache" localSheetId="10">'Internationale Angelegenheiten'!$T$3:$T$6</definedName>
    <definedName name="wgf.Fremdsprache" localSheetId="8">Kultur!$T$3:$T$6</definedName>
    <definedName name="wgf.Fremdsprache" localSheetId="0">'Medien und Gesellschaft'!$T$3:$T$6</definedName>
    <definedName name="wgf.Fremdsprache" localSheetId="3">'Seel. u. org. Entwicklung'!$T$3:$T$6</definedName>
    <definedName name="wgf.Fremdsprache" localSheetId="2">'Sport, Gesundheit, Fitness'!$T$3:$T$6</definedName>
    <definedName name="wgf.Fremdsprache" localSheetId="5">'System Erde'!$T$3:$T$6</definedName>
    <definedName name="wgf.Fremdsprache" localSheetId="4">'Technik, Medien und Wirtschaft'!$T$3:$T$6</definedName>
    <definedName name="wgf.Fremdsprache">#REF!</definedName>
  </definedNames>
  <calcPr calcId="125725"/>
</workbook>
</file>

<file path=xl/calcChain.xml><?xml version="1.0" encoding="utf-8"?>
<calcChain xmlns="http://schemas.openxmlformats.org/spreadsheetml/2006/main">
  <c r="D29" i="20"/>
  <c r="J29" s="1"/>
  <c r="D28"/>
  <c r="J28" s="1"/>
  <c r="D27"/>
  <c r="D26"/>
  <c r="D25"/>
  <c r="J25" s="1"/>
  <c r="D24"/>
  <c r="J24" s="1"/>
  <c r="D23"/>
  <c r="I23" s="1"/>
  <c r="D22"/>
  <c r="D21"/>
  <c r="I21" s="1"/>
  <c r="D20"/>
  <c r="J20" s="1"/>
  <c r="J27"/>
  <c r="K27" s="1"/>
  <c r="J26"/>
  <c r="J22"/>
  <c r="J28" i="16"/>
  <c r="J27"/>
  <c r="J26"/>
  <c r="J25"/>
  <c r="J24"/>
  <c r="J23"/>
  <c r="J20"/>
  <c r="D29"/>
  <c r="J29" s="1"/>
  <c r="D28"/>
  <c r="D27"/>
  <c r="D26"/>
  <c r="D25"/>
  <c r="R25" s="1"/>
  <c r="D24"/>
  <c r="I24" s="1"/>
  <c r="D23"/>
  <c r="D22"/>
  <c r="J22" s="1"/>
  <c r="D21"/>
  <c r="I21" s="1"/>
  <c r="D20"/>
  <c r="J29" i="18"/>
  <c r="J27"/>
  <c r="J26"/>
  <c r="J25"/>
  <c r="J24"/>
  <c r="J23"/>
  <c r="J22"/>
  <c r="J21"/>
  <c r="J20"/>
  <c r="D24"/>
  <c r="D29"/>
  <c r="D28"/>
  <c r="J28" s="1"/>
  <c r="D27"/>
  <c r="I27" s="1"/>
  <c r="D26"/>
  <c r="D25"/>
  <c r="D23"/>
  <c r="D22"/>
  <c r="D21"/>
  <c r="D20"/>
  <c r="I20" s="1"/>
  <c r="D20" i="15"/>
  <c r="D21"/>
  <c r="I21" s="1"/>
  <c r="D22"/>
  <c r="J22" s="1"/>
  <c r="D23"/>
  <c r="D24"/>
  <c r="D25"/>
  <c r="R25" s="1"/>
  <c r="D26"/>
  <c r="J26" s="1"/>
  <c r="D27"/>
  <c r="D28"/>
  <c r="D29"/>
  <c r="J29" s="1"/>
  <c r="J24"/>
  <c r="J20"/>
  <c r="D20" i="21"/>
  <c r="R20" s="1"/>
  <c r="D20" i="11"/>
  <c r="J20" s="1"/>
  <c r="D20" i="12"/>
  <c r="D20" i="14"/>
  <c r="R20" s="1"/>
  <c r="D20" i="19"/>
  <c r="J20" s="1"/>
  <c r="J28" i="15"/>
  <c r="J27"/>
  <c r="K27" s="1"/>
  <c r="J23"/>
  <c r="J29" i="19"/>
  <c r="J28"/>
  <c r="J27"/>
  <c r="J25"/>
  <c r="J24"/>
  <c r="J23"/>
  <c r="J22"/>
  <c r="J21"/>
  <c r="D29"/>
  <c r="D28"/>
  <c r="D27"/>
  <c r="D26"/>
  <c r="J26" s="1"/>
  <c r="D25"/>
  <c r="I25" s="1"/>
  <c r="D24"/>
  <c r="D23"/>
  <c r="D22"/>
  <c r="D21"/>
  <c r="I21" s="1"/>
  <c r="D23" i="14"/>
  <c r="D29"/>
  <c r="R29" s="1"/>
  <c r="D28"/>
  <c r="J28" s="1"/>
  <c r="D27"/>
  <c r="D26"/>
  <c r="D25"/>
  <c r="D24"/>
  <c r="J24" s="1"/>
  <c r="D22"/>
  <c r="D21"/>
  <c r="J21" s="1"/>
  <c r="J25"/>
  <c r="K25" s="1"/>
  <c r="R22"/>
  <c r="R26"/>
  <c r="J27"/>
  <c r="J23"/>
  <c r="J22"/>
  <c r="J29"/>
  <c r="J29" i="12"/>
  <c r="J28"/>
  <c r="J27"/>
  <c r="J26"/>
  <c r="J25"/>
  <c r="J24"/>
  <c r="J23"/>
  <c r="J20"/>
  <c r="J28" i="11"/>
  <c r="J27"/>
  <c r="J25"/>
  <c r="J24"/>
  <c r="J29" i="9"/>
  <c r="J28"/>
  <c r="J27"/>
  <c r="J25"/>
  <c r="J24"/>
  <c r="J23"/>
  <c r="J22"/>
  <c r="J21"/>
  <c r="J20"/>
  <c r="J28" i="10"/>
  <c r="J27"/>
  <c r="J26"/>
  <c r="J25"/>
  <c r="J23"/>
  <c r="J22"/>
  <c r="J21"/>
  <c r="J20"/>
  <c r="D23" i="12"/>
  <c r="R23" s="1"/>
  <c r="D29"/>
  <c r="D28"/>
  <c r="D27"/>
  <c r="I27" s="1"/>
  <c r="D26"/>
  <c r="D25"/>
  <c r="D24"/>
  <c r="I24" s="1"/>
  <c r="D22"/>
  <c r="J22" s="1"/>
  <c r="K22" s="1"/>
  <c r="D21"/>
  <c r="J21" s="1"/>
  <c r="D29" i="11"/>
  <c r="J29" s="1"/>
  <c r="D28"/>
  <c r="I28" s="1"/>
  <c r="D27"/>
  <c r="D26"/>
  <c r="J26" s="1"/>
  <c r="D25"/>
  <c r="I25" s="1"/>
  <c r="D24"/>
  <c r="I24" s="1"/>
  <c r="D23"/>
  <c r="J23" s="1"/>
  <c r="D22"/>
  <c r="J22" s="1"/>
  <c r="D21"/>
  <c r="I21" s="1"/>
  <c r="D20" i="9"/>
  <c r="D29" i="10"/>
  <c r="J29" s="1"/>
  <c r="D20"/>
  <c r="R20" s="1"/>
  <c r="D29" i="9"/>
  <c r="D28"/>
  <c r="I28" s="1"/>
  <c r="D27"/>
  <c r="R27" s="1"/>
  <c r="D26"/>
  <c r="J26" s="1"/>
  <c r="D25"/>
  <c r="D24"/>
  <c r="I24" s="1"/>
  <c r="D23"/>
  <c r="I23" s="1"/>
  <c r="D22"/>
  <c r="I22" s="1"/>
  <c r="D21"/>
  <c r="D28" i="10"/>
  <c r="I28" s="1"/>
  <c r="D27"/>
  <c r="K27" s="1"/>
  <c r="D26"/>
  <c r="D25"/>
  <c r="D24"/>
  <c r="I24" s="1"/>
  <c r="D23"/>
  <c r="I23" s="1"/>
  <c r="D22"/>
  <c r="D21"/>
  <c r="I25"/>
  <c r="I22"/>
  <c r="I26"/>
  <c r="J21" i="21"/>
  <c r="K21" s="1"/>
  <c r="J29"/>
  <c r="J28"/>
  <c r="J27"/>
  <c r="J26"/>
  <c r="J25"/>
  <c r="K25" s="1"/>
  <c r="J24"/>
  <c r="J23"/>
  <c r="J22"/>
  <c r="D29"/>
  <c r="D28"/>
  <c r="D27"/>
  <c r="D26"/>
  <c r="D25"/>
  <c r="I25" s="1"/>
  <c r="D24"/>
  <c r="K24" s="1"/>
  <c r="D23"/>
  <c r="I23" s="1"/>
  <c r="D22"/>
  <c r="D21"/>
  <c r="R29"/>
  <c r="R30"/>
  <c r="R31"/>
  <c r="B43"/>
  <c r="A43"/>
  <c r="B42"/>
  <c r="A42"/>
  <c r="B41"/>
  <c r="A41"/>
  <c r="C40"/>
  <c r="B40"/>
  <c r="A40"/>
  <c r="C39"/>
  <c r="B39"/>
  <c r="R38"/>
  <c r="F35"/>
  <c r="F36" s="1"/>
  <c r="B31"/>
  <c r="H30"/>
  <c r="F32" s="1"/>
  <c r="Q29"/>
  <c r="L29"/>
  <c r="Q28"/>
  <c r="L28"/>
  <c r="K28"/>
  <c r="I28"/>
  <c r="R28"/>
  <c r="Q27"/>
  <c r="L27"/>
  <c r="I27"/>
  <c r="Q26"/>
  <c r="L26"/>
  <c r="I26"/>
  <c r="K26"/>
  <c r="Q25"/>
  <c r="L25"/>
  <c r="R25"/>
  <c r="Q24"/>
  <c r="L24"/>
  <c r="I24"/>
  <c r="R24"/>
  <c r="Q23"/>
  <c r="L23"/>
  <c r="Q22"/>
  <c r="L22"/>
  <c r="I22"/>
  <c r="K22"/>
  <c r="Q21"/>
  <c r="L21"/>
  <c r="I21"/>
  <c r="R21"/>
  <c r="Q20"/>
  <c r="L20"/>
  <c r="Q19"/>
  <c r="R18"/>
  <c r="Q18"/>
  <c r="L18"/>
  <c r="K18"/>
  <c r="J18"/>
  <c r="I18"/>
  <c r="R17"/>
  <c r="Q17"/>
  <c r="L17"/>
  <c r="K17"/>
  <c r="J17"/>
  <c r="I17"/>
  <c r="R16"/>
  <c r="Q16"/>
  <c r="L16"/>
  <c r="K16"/>
  <c r="J16"/>
  <c r="I16"/>
  <c r="R15"/>
  <c r="R11"/>
  <c r="Q11"/>
  <c r="J11"/>
  <c r="K11" s="1"/>
  <c r="I11"/>
  <c r="R9"/>
  <c r="Q9"/>
  <c r="J9"/>
  <c r="K9" s="1"/>
  <c r="I9"/>
  <c r="R8"/>
  <c r="Q8"/>
  <c r="L8"/>
  <c r="I8"/>
  <c r="K8" s="1"/>
  <c r="R6"/>
  <c r="Q6"/>
  <c r="J6"/>
  <c r="K6" s="1"/>
  <c r="I6"/>
  <c r="R5"/>
  <c r="Q5"/>
  <c r="K5"/>
  <c r="J5"/>
  <c r="L5" s="1"/>
  <c r="I5"/>
  <c r="R4"/>
  <c r="Q4"/>
  <c r="L4"/>
  <c r="K4"/>
  <c r="J4"/>
  <c r="I4"/>
  <c r="R3"/>
  <c r="B43" i="20"/>
  <c r="A43"/>
  <c r="B42"/>
  <c r="A42"/>
  <c r="B41"/>
  <c r="A41"/>
  <c r="C40"/>
  <c r="B40"/>
  <c r="A40"/>
  <c r="C39"/>
  <c r="B39"/>
  <c r="R38"/>
  <c r="F35"/>
  <c r="F36" s="1"/>
  <c r="Q32"/>
  <c r="R31"/>
  <c r="B31"/>
  <c r="R30"/>
  <c r="H30"/>
  <c r="F32" s="1"/>
  <c r="Q28"/>
  <c r="L28"/>
  <c r="I28"/>
  <c r="Q27"/>
  <c r="L27"/>
  <c r="I27"/>
  <c r="Q26"/>
  <c r="L26"/>
  <c r="K26"/>
  <c r="I26"/>
  <c r="R26"/>
  <c r="Q25"/>
  <c r="L25"/>
  <c r="Q24"/>
  <c r="L24"/>
  <c r="I24"/>
  <c r="Q23"/>
  <c r="L23"/>
  <c r="Q22"/>
  <c r="L22"/>
  <c r="R22"/>
  <c r="Q21"/>
  <c r="L21"/>
  <c r="R21"/>
  <c r="Q20"/>
  <c r="L20"/>
  <c r="Q19"/>
  <c r="R18"/>
  <c r="Q18"/>
  <c r="L18"/>
  <c r="K18"/>
  <c r="J18"/>
  <c r="I18"/>
  <c r="R17"/>
  <c r="Q17"/>
  <c r="L17"/>
  <c r="K17"/>
  <c r="J17"/>
  <c r="I17"/>
  <c r="R16"/>
  <c r="Q16"/>
  <c r="L16"/>
  <c r="K16"/>
  <c r="J16"/>
  <c r="I16"/>
  <c r="R15"/>
  <c r="Q15"/>
  <c r="L15"/>
  <c r="K15"/>
  <c r="J15"/>
  <c r="I15"/>
  <c r="R11"/>
  <c r="Q11"/>
  <c r="K11"/>
  <c r="J11"/>
  <c r="L11" s="1"/>
  <c r="I11"/>
  <c r="R10"/>
  <c r="Q10"/>
  <c r="K10"/>
  <c r="J10"/>
  <c r="L10" s="1"/>
  <c r="I10"/>
  <c r="R9"/>
  <c r="Q9"/>
  <c r="K9"/>
  <c r="J9"/>
  <c r="L9" s="1"/>
  <c r="I9"/>
  <c r="R8"/>
  <c r="Q8"/>
  <c r="L8"/>
  <c r="K8"/>
  <c r="I8"/>
  <c r="R6"/>
  <c r="Q6"/>
  <c r="K6"/>
  <c r="J6"/>
  <c r="L6" s="1"/>
  <c r="I6"/>
  <c r="S5"/>
  <c r="S4"/>
  <c r="R4"/>
  <c r="Q4"/>
  <c r="L4"/>
  <c r="J4"/>
  <c r="Q7" s="1"/>
  <c r="I4"/>
  <c r="K4" s="1"/>
  <c r="R3"/>
  <c r="Q32" i="16"/>
  <c r="R30"/>
  <c r="I13"/>
  <c r="I11"/>
  <c r="Q32" i="18"/>
  <c r="Q32" i="19"/>
  <c r="Q32" i="11"/>
  <c r="Q32" i="9"/>
  <c r="Q32" i="10"/>
  <c r="R30" i="15"/>
  <c r="R30" i="18"/>
  <c r="R31" i="16"/>
  <c r="R31" i="15"/>
  <c r="R31" i="19"/>
  <c r="R31" i="14"/>
  <c r="R30"/>
  <c r="R31" i="12"/>
  <c r="R31" i="11"/>
  <c r="R30"/>
  <c r="R30" i="10"/>
  <c r="R31" i="9"/>
  <c r="R31" i="10"/>
  <c r="Q4" i="16"/>
  <c r="R21"/>
  <c r="R18"/>
  <c r="R17"/>
  <c r="Q17"/>
  <c r="L17"/>
  <c r="K17"/>
  <c r="J17"/>
  <c r="I17"/>
  <c r="Q25"/>
  <c r="Q15"/>
  <c r="Q17" i="19"/>
  <c r="Q17" i="14"/>
  <c r="Q17" i="12"/>
  <c r="Q17" i="11"/>
  <c r="Q17" i="9"/>
  <c r="Q8" i="18"/>
  <c r="Q8" i="15"/>
  <c r="Q8" i="19"/>
  <c r="Q8" i="14"/>
  <c r="Q8" i="12"/>
  <c r="Q8" i="11"/>
  <c r="Q8" i="9"/>
  <c r="Q8" i="10"/>
  <c r="Q15"/>
  <c r="Q16" i="16"/>
  <c r="Q10" i="15"/>
  <c r="Q10" i="11"/>
  <c r="Q14"/>
  <c r="Q30" i="16"/>
  <c r="S5"/>
  <c r="B43" i="19"/>
  <c r="A43"/>
  <c r="B42"/>
  <c r="A42"/>
  <c r="B41"/>
  <c r="A41"/>
  <c r="C40"/>
  <c r="B40"/>
  <c r="A40"/>
  <c r="C39"/>
  <c r="B39"/>
  <c r="R38"/>
  <c r="F36"/>
  <c r="F35"/>
  <c r="B31"/>
  <c r="H30"/>
  <c r="G31" s="1"/>
  <c r="Q29"/>
  <c r="L29"/>
  <c r="I29"/>
  <c r="Q27"/>
  <c r="L27"/>
  <c r="K27"/>
  <c r="R27"/>
  <c r="Q25"/>
  <c r="L25"/>
  <c r="Q24"/>
  <c r="L24"/>
  <c r="Q23"/>
  <c r="L23"/>
  <c r="K23"/>
  <c r="R23"/>
  <c r="Q22"/>
  <c r="L22"/>
  <c r="I22"/>
  <c r="R22"/>
  <c r="Q21"/>
  <c r="L21"/>
  <c r="Q20"/>
  <c r="L20"/>
  <c r="Q19"/>
  <c r="R18"/>
  <c r="Q18"/>
  <c r="L18"/>
  <c r="J18"/>
  <c r="I18"/>
  <c r="K18" s="1"/>
  <c r="R17"/>
  <c r="L17"/>
  <c r="J17"/>
  <c r="I17"/>
  <c r="K17" s="1"/>
  <c r="R16"/>
  <c r="Q16"/>
  <c r="L16"/>
  <c r="J16"/>
  <c r="I16"/>
  <c r="K16" s="1"/>
  <c r="R15"/>
  <c r="R11"/>
  <c r="Q11"/>
  <c r="L11"/>
  <c r="K11"/>
  <c r="J11"/>
  <c r="I11"/>
  <c r="R9"/>
  <c r="Q9"/>
  <c r="L9"/>
  <c r="K9"/>
  <c r="J9"/>
  <c r="I9"/>
  <c r="R8"/>
  <c r="L8"/>
  <c r="K8"/>
  <c r="I8"/>
  <c r="R6"/>
  <c r="Q6"/>
  <c r="L6"/>
  <c r="K6"/>
  <c r="J6"/>
  <c r="S6" s="1"/>
  <c r="I6"/>
  <c r="S5"/>
  <c r="R5"/>
  <c r="Q5"/>
  <c r="L5"/>
  <c r="J5"/>
  <c r="I5"/>
  <c r="K5" s="1"/>
  <c r="R4"/>
  <c r="Q4"/>
  <c r="J4"/>
  <c r="K4" s="1"/>
  <c r="I4"/>
  <c r="R3"/>
  <c r="Q29" i="18"/>
  <c r="L29"/>
  <c r="I29"/>
  <c r="Q7"/>
  <c r="J9" i="10"/>
  <c r="J9" i="9"/>
  <c r="J9" i="12"/>
  <c r="L9" s="1"/>
  <c r="J9" i="14"/>
  <c r="J9" i="15"/>
  <c r="J9" i="16"/>
  <c r="K9" s="1"/>
  <c r="J9" i="18"/>
  <c r="L9"/>
  <c r="Q9"/>
  <c r="B43"/>
  <c r="A43"/>
  <c r="B42"/>
  <c r="A42"/>
  <c r="B41"/>
  <c r="A41"/>
  <c r="C40"/>
  <c r="B40"/>
  <c r="A40"/>
  <c r="C39"/>
  <c r="B39"/>
  <c r="R38"/>
  <c r="F35"/>
  <c r="F36" s="1"/>
  <c r="B31"/>
  <c r="H30"/>
  <c r="G31" s="1"/>
  <c r="Q27"/>
  <c r="L27"/>
  <c r="K27"/>
  <c r="Q26"/>
  <c r="L26"/>
  <c r="R26"/>
  <c r="Q25"/>
  <c r="L25"/>
  <c r="I25"/>
  <c r="Q24"/>
  <c r="L24"/>
  <c r="Q23"/>
  <c r="L23"/>
  <c r="R23"/>
  <c r="Q22"/>
  <c r="L22"/>
  <c r="K22"/>
  <c r="I22"/>
  <c r="R22"/>
  <c r="Q21"/>
  <c r="L21"/>
  <c r="I21"/>
  <c r="Q20"/>
  <c r="L20"/>
  <c r="Q19"/>
  <c r="R18"/>
  <c r="Q18"/>
  <c r="L18"/>
  <c r="J18"/>
  <c r="I18"/>
  <c r="K18" s="1"/>
  <c r="R16"/>
  <c r="Q16"/>
  <c r="L16"/>
  <c r="J16"/>
  <c r="I16"/>
  <c r="K16" s="1"/>
  <c r="R15"/>
  <c r="Q15"/>
  <c r="L15"/>
  <c r="J15"/>
  <c r="I15"/>
  <c r="K15" s="1"/>
  <c r="R11"/>
  <c r="Q11"/>
  <c r="K11"/>
  <c r="J11"/>
  <c r="L11" s="1"/>
  <c r="I11"/>
  <c r="R10"/>
  <c r="Q10"/>
  <c r="K10"/>
  <c r="J10"/>
  <c r="L10" s="1"/>
  <c r="I10"/>
  <c r="R9"/>
  <c r="I9"/>
  <c r="R8"/>
  <c r="L8"/>
  <c r="K8"/>
  <c r="I8"/>
  <c r="R6"/>
  <c r="Q6"/>
  <c r="K6"/>
  <c r="J6"/>
  <c r="L6" s="1"/>
  <c r="I6"/>
  <c r="R5"/>
  <c r="Q5"/>
  <c r="L5"/>
  <c r="K5"/>
  <c r="J5"/>
  <c r="S5" s="1"/>
  <c r="I5"/>
  <c r="S4"/>
  <c r="R4"/>
  <c r="Q4"/>
  <c r="L4"/>
  <c r="J4"/>
  <c r="I4"/>
  <c r="K4" s="1"/>
  <c r="R3"/>
  <c r="B43" i="16"/>
  <c r="A43"/>
  <c r="B42"/>
  <c r="A42"/>
  <c r="B41"/>
  <c r="A41"/>
  <c r="C40"/>
  <c r="B40"/>
  <c r="A40"/>
  <c r="C39"/>
  <c r="B39"/>
  <c r="R38"/>
  <c r="F35"/>
  <c r="F36" s="1"/>
  <c r="B31"/>
  <c r="H30"/>
  <c r="G31" s="1"/>
  <c r="Q28"/>
  <c r="L28"/>
  <c r="I28"/>
  <c r="Q27"/>
  <c r="L27"/>
  <c r="I27"/>
  <c r="K27"/>
  <c r="Q26"/>
  <c r="L26"/>
  <c r="R26"/>
  <c r="L25"/>
  <c r="Q24"/>
  <c r="L24"/>
  <c r="Q23"/>
  <c r="L23"/>
  <c r="Q22"/>
  <c r="L22"/>
  <c r="Q21"/>
  <c r="L21"/>
  <c r="Q20"/>
  <c r="L20"/>
  <c r="Q19"/>
  <c r="Q18"/>
  <c r="L18"/>
  <c r="K18"/>
  <c r="J18"/>
  <c r="I18"/>
  <c r="R16"/>
  <c r="L16"/>
  <c r="J16"/>
  <c r="I16"/>
  <c r="K16" s="1"/>
  <c r="R15"/>
  <c r="L15"/>
  <c r="J15"/>
  <c r="K15" s="1"/>
  <c r="I15"/>
  <c r="R11"/>
  <c r="Q11"/>
  <c r="J11"/>
  <c r="K11" s="1"/>
  <c r="R10"/>
  <c r="Q10"/>
  <c r="J10"/>
  <c r="K10" s="1"/>
  <c r="I10"/>
  <c r="R9"/>
  <c r="Q9"/>
  <c r="I9"/>
  <c r="R8"/>
  <c r="Q8"/>
  <c r="L8"/>
  <c r="I8"/>
  <c r="K8" s="1"/>
  <c r="R6"/>
  <c r="Q6"/>
  <c r="J6"/>
  <c r="K6" s="1"/>
  <c r="I6"/>
  <c r="R4"/>
  <c r="L4"/>
  <c r="K4"/>
  <c r="J4"/>
  <c r="S4" s="1"/>
  <c r="I4"/>
  <c r="R3"/>
  <c r="Q29" i="15"/>
  <c r="B43"/>
  <c r="A43"/>
  <c r="B42"/>
  <c r="A42"/>
  <c r="B41"/>
  <c r="A41"/>
  <c r="C40"/>
  <c r="B40"/>
  <c r="A40"/>
  <c r="C39"/>
  <c r="B39"/>
  <c r="R38"/>
  <c r="F35"/>
  <c r="F36" s="1"/>
  <c r="B31"/>
  <c r="H30"/>
  <c r="G31" s="1"/>
  <c r="Q28"/>
  <c r="L28"/>
  <c r="Q27"/>
  <c r="L27"/>
  <c r="I27"/>
  <c r="Q26"/>
  <c r="L26"/>
  <c r="Q25"/>
  <c r="L25"/>
  <c r="Q24"/>
  <c r="L24"/>
  <c r="Q23"/>
  <c r="L23"/>
  <c r="Q22"/>
  <c r="L22"/>
  <c r="R22"/>
  <c r="Q21"/>
  <c r="L21"/>
  <c r="Q20"/>
  <c r="L20"/>
  <c r="Q19"/>
  <c r="R18"/>
  <c r="Q18"/>
  <c r="L18"/>
  <c r="K18"/>
  <c r="J18"/>
  <c r="I18"/>
  <c r="R16"/>
  <c r="Q16"/>
  <c r="L16"/>
  <c r="K16"/>
  <c r="J16"/>
  <c r="I16"/>
  <c r="R15"/>
  <c r="Q15"/>
  <c r="L15"/>
  <c r="K15"/>
  <c r="J15"/>
  <c r="I15"/>
  <c r="R11"/>
  <c r="Q11"/>
  <c r="J11"/>
  <c r="K11" s="1"/>
  <c r="I11"/>
  <c r="R10"/>
  <c r="J10"/>
  <c r="K10" s="1"/>
  <c r="I10"/>
  <c r="R9"/>
  <c r="Q9"/>
  <c r="K9"/>
  <c r="I9"/>
  <c r="R8"/>
  <c r="L8"/>
  <c r="I8"/>
  <c r="K8" s="1"/>
  <c r="R6"/>
  <c r="Q6"/>
  <c r="J6"/>
  <c r="K6" s="1"/>
  <c r="I6"/>
  <c r="R5"/>
  <c r="Q5"/>
  <c r="K5"/>
  <c r="J5"/>
  <c r="L5" s="1"/>
  <c r="I5"/>
  <c r="R4"/>
  <c r="Q4"/>
  <c r="L4"/>
  <c r="K4"/>
  <c r="J4"/>
  <c r="S4" s="1"/>
  <c r="I4"/>
  <c r="R3"/>
  <c r="B31" i="9"/>
  <c r="B31" i="14"/>
  <c r="B31" i="12"/>
  <c r="B31" i="11"/>
  <c r="Q20" i="14"/>
  <c r="Q29"/>
  <c r="L29"/>
  <c r="R17"/>
  <c r="L17"/>
  <c r="K17"/>
  <c r="J17"/>
  <c r="I17"/>
  <c r="B43"/>
  <c r="A43"/>
  <c r="B42"/>
  <c r="A42"/>
  <c r="B41"/>
  <c r="A41"/>
  <c r="C40"/>
  <c r="B40"/>
  <c r="A40"/>
  <c r="C39"/>
  <c r="B39"/>
  <c r="R38"/>
  <c r="F35"/>
  <c r="F36" s="1"/>
  <c r="H30"/>
  <c r="G31" s="1"/>
  <c r="Q28"/>
  <c r="L28"/>
  <c r="Q27"/>
  <c r="L27"/>
  <c r="Q26"/>
  <c r="L26"/>
  <c r="Q25"/>
  <c r="L25"/>
  <c r="Q24"/>
  <c r="L24"/>
  <c r="Q23"/>
  <c r="L23"/>
  <c r="Q22"/>
  <c r="L22"/>
  <c r="Q21"/>
  <c r="L21"/>
  <c r="L20"/>
  <c r="Q19"/>
  <c r="R18"/>
  <c r="Q18"/>
  <c r="L18"/>
  <c r="K18"/>
  <c r="J18"/>
  <c r="I18"/>
  <c r="R16"/>
  <c r="Q16"/>
  <c r="L16"/>
  <c r="J16"/>
  <c r="K16" s="1"/>
  <c r="I16"/>
  <c r="R15"/>
  <c r="R11"/>
  <c r="Q11"/>
  <c r="J11"/>
  <c r="K11" s="1"/>
  <c r="I11"/>
  <c r="R9"/>
  <c r="Q9"/>
  <c r="K9"/>
  <c r="I9"/>
  <c r="R8"/>
  <c r="L8"/>
  <c r="I8"/>
  <c r="K8" s="1"/>
  <c r="R6"/>
  <c r="Q6"/>
  <c r="J6"/>
  <c r="K6" s="1"/>
  <c r="I6"/>
  <c r="R5"/>
  <c r="Q5"/>
  <c r="K5"/>
  <c r="J5"/>
  <c r="L5" s="1"/>
  <c r="I5"/>
  <c r="R4"/>
  <c r="Q4"/>
  <c r="J4"/>
  <c r="S4" s="1"/>
  <c r="I4"/>
  <c r="R3"/>
  <c r="Q7" i="10"/>
  <c r="Q7" i="9"/>
  <c r="Q7" i="11"/>
  <c r="Q7" i="12"/>
  <c r="Q23"/>
  <c r="Q22"/>
  <c r="Q21"/>
  <c r="Q23" i="11"/>
  <c r="Q22"/>
  <c r="Q21"/>
  <c r="Q23" i="9"/>
  <c r="Q22"/>
  <c r="Q21"/>
  <c r="Q23" i="10"/>
  <c r="Q22"/>
  <c r="B43" i="11"/>
  <c r="B31" i="10"/>
  <c r="R21" i="9"/>
  <c r="Q19" i="12"/>
  <c r="Q19" i="11"/>
  <c r="Q19" i="9"/>
  <c r="Q19" i="10"/>
  <c r="R13" i="12"/>
  <c r="Q13"/>
  <c r="Q28" i="10"/>
  <c r="Q27"/>
  <c r="Q26"/>
  <c r="Q25"/>
  <c r="Q24"/>
  <c r="Q21"/>
  <c r="Q20"/>
  <c r="R18"/>
  <c r="Q18"/>
  <c r="R16"/>
  <c r="Q16"/>
  <c r="R15"/>
  <c r="R11"/>
  <c r="Q11"/>
  <c r="R10"/>
  <c r="Q10"/>
  <c r="R9"/>
  <c r="Q9"/>
  <c r="R8"/>
  <c r="R6"/>
  <c r="Q6"/>
  <c r="R5"/>
  <c r="Q5"/>
  <c r="R4"/>
  <c r="Q4"/>
  <c r="R3"/>
  <c r="Q29" i="9"/>
  <c r="Q28"/>
  <c r="Q27"/>
  <c r="Q25"/>
  <c r="Q24"/>
  <c r="R20"/>
  <c r="Q20"/>
  <c r="R18"/>
  <c r="Q18"/>
  <c r="R17"/>
  <c r="R16"/>
  <c r="Q16"/>
  <c r="R11"/>
  <c r="Q11"/>
  <c r="R10"/>
  <c r="Q10"/>
  <c r="R9"/>
  <c r="Q9"/>
  <c r="R8"/>
  <c r="R6"/>
  <c r="Q6"/>
  <c r="R5"/>
  <c r="Q5"/>
  <c r="R4"/>
  <c r="Q4"/>
  <c r="R3"/>
  <c r="Q28" i="11"/>
  <c r="Q27"/>
  <c r="Q25"/>
  <c r="Q24"/>
  <c r="Q20"/>
  <c r="R17"/>
  <c r="R16"/>
  <c r="Q16"/>
  <c r="R14"/>
  <c r="R10"/>
  <c r="R9"/>
  <c r="Q9"/>
  <c r="R8"/>
  <c r="R6"/>
  <c r="Q6"/>
  <c r="R5"/>
  <c r="Q5"/>
  <c r="R4"/>
  <c r="Q4"/>
  <c r="R3"/>
  <c r="Q28" i="12"/>
  <c r="Q27"/>
  <c r="Q25"/>
  <c r="Q24"/>
  <c r="Q20"/>
  <c r="R18"/>
  <c r="Q18"/>
  <c r="R17"/>
  <c r="R16"/>
  <c r="Q16"/>
  <c r="R14"/>
  <c r="R11"/>
  <c r="Q11"/>
  <c r="R10"/>
  <c r="Q10"/>
  <c r="R9"/>
  <c r="Q9"/>
  <c r="R8"/>
  <c r="R6"/>
  <c r="Q6"/>
  <c r="R5"/>
  <c r="Q5"/>
  <c r="R4"/>
  <c r="Q4"/>
  <c r="R3"/>
  <c r="C40" i="10"/>
  <c r="C40" i="9"/>
  <c r="C40" i="11"/>
  <c r="C40" i="12"/>
  <c r="B42" i="10"/>
  <c r="B41"/>
  <c r="B40"/>
  <c r="B42" i="9"/>
  <c r="B41"/>
  <c r="B40"/>
  <c r="B42" i="11"/>
  <c r="B41"/>
  <c r="B40"/>
  <c r="B42" i="12"/>
  <c r="B41"/>
  <c r="B40"/>
  <c r="L14"/>
  <c r="K14"/>
  <c r="J14"/>
  <c r="I14"/>
  <c r="L13"/>
  <c r="J13"/>
  <c r="K13" s="1"/>
  <c r="I13"/>
  <c r="B43"/>
  <c r="A43"/>
  <c r="A42"/>
  <c r="A41"/>
  <c r="A40"/>
  <c r="C39"/>
  <c r="B39"/>
  <c r="R38"/>
  <c r="F35"/>
  <c r="F36" s="1"/>
  <c r="H30"/>
  <c r="G31" s="1"/>
  <c r="L28"/>
  <c r="I28"/>
  <c r="L27"/>
  <c r="L25"/>
  <c r="I25"/>
  <c r="L24"/>
  <c r="L23"/>
  <c r="L22"/>
  <c r="L21"/>
  <c r="R21"/>
  <c r="L20"/>
  <c r="L18"/>
  <c r="J18"/>
  <c r="K18" s="1"/>
  <c r="I18"/>
  <c r="L17"/>
  <c r="J17"/>
  <c r="K17" s="1"/>
  <c r="I17"/>
  <c r="L16"/>
  <c r="J16"/>
  <c r="I16"/>
  <c r="L11"/>
  <c r="K11"/>
  <c r="J11"/>
  <c r="I11"/>
  <c r="K10"/>
  <c r="J10"/>
  <c r="L10" s="1"/>
  <c r="I10"/>
  <c r="I9"/>
  <c r="L8"/>
  <c r="K8"/>
  <c r="I8"/>
  <c r="J6"/>
  <c r="L6" s="1"/>
  <c r="I6"/>
  <c r="J5"/>
  <c r="L5" s="1"/>
  <c r="I5"/>
  <c r="J4"/>
  <c r="S4" s="1"/>
  <c r="I4"/>
  <c r="J9" i="11"/>
  <c r="A43"/>
  <c r="A42"/>
  <c r="A41"/>
  <c r="A40"/>
  <c r="C39"/>
  <c r="B39"/>
  <c r="R38"/>
  <c r="F36"/>
  <c r="F35"/>
  <c r="H30"/>
  <c r="F32" s="1"/>
  <c r="L28"/>
  <c r="L27"/>
  <c r="I27"/>
  <c r="L25"/>
  <c r="L24"/>
  <c r="L23"/>
  <c r="I23"/>
  <c r="L22"/>
  <c r="L21"/>
  <c r="L20"/>
  <c r="L17"/>
  <c r="J17"/>
  <c r="K17" s="1"/>
  <c r="I17"/>
  <c r="L16"/>
  <c r="K16"/>
  <c r="J16"/>
  <c r="I16"/>
  <c r="L14"/>
  <c r="J14"/>
  <c r="K14" s="1"/>
  <c r="I14"/>
  <c r="L13"/>
  <c r="J13"/>
  <c r="K13" s="1"/>
  <c r="I13"/>
  <c r="L10"/>
  <c r="J10"/>
  <c r="I10"/>
  <c r="K10" s="1"/>
  <c r="L9"/>
  <c r="I9"/>
  <c r="L8"/>
  <c r="I8"/>
  <c r="K8" s="1"/>
  <c r="J6"/>
  <c r="K6" s="1"/>
  <c r="I6"/>
  <c r="J5"/>
  <c r="L5" s="1"/>
  <c r="I5"/>
  <c r="L4"/>
  <c r="J4"/>
  <c r="I4"/>
  <c r="B43" i="10"/>
  <c r="A43"/>
  <c r="A42"/>
  <c r="A41"/>
  <c r="A40"/>
  <c r="C39"/>
  <c r="B39"/>
  <c r="R38"/>
  <c r="F35"/>
  <c r="F36" s="1"/>
  <c r="H30"/>
  <c r="G31" s="1"/>
  <c r="L28"/>
  <c r="L27"/>
  <c r="L26"/>
  <c r="L25"/>
  <c r="L24"/>
  <c r="L23"/>
  <c r="L22"/>
  <c r="L21"/>
  <c r="I21"/>
  <c r="L20"/>
  <c r="L18"/>
  <c r="J18"/>
  <c r="I18"/>
  <c r="K18" s="1"/>
  <c r="L16"/>
  <c r="J16"/>
  <c r="K16" s="1"/>
  <c r="I16"/>
  <c r="L15"/>
  <c r="J15"/>
  <c r="I15"/>
  <c r="K11"/>
  <c r="J11"/>
  <c r="L11" s="1"/>
  <c r="I11"/>
  <c r="K10"/>
  <c r="J10"/>
  <c r="L10" s="1"/>
  <c r="I10"/>
  <c r="L9"/>
  <c r="I9"/>
  <c r="L8"/>
  <c r="K8"/>
  <c r="I8"/>
  <c r="J6"/>
  <c r="S6" s="1"/>
  <c r="I6"/>
  <c r="J5"/>
  <c r="L5" s="1"/>
  <c r="I5"/>
  <c r="J4"/>
  <c r="S4" s="1"/>
  <c r="I4"/>
  <c r="J10" i="9"/>
  <c r="K10" s="1"/>
  <c r="B43"/>
  <c r="A43"/>
  <c r="A42"/>
  <c r="A41"/>
  <c r="A40"/>
  <c r="C39"/>
  <c r="B39"/>
  <c r="R38"/>
  <c r="F35"/>
  <c r="F36" s="1"/>
  <c r="H30"/>
  <c r="F32" s="1"/>
  <c r="L29"/>
  <c r="I29"/>
  <c r="L28"/>
  <c r="L27"/>
  <c r="L25"/>
  <c r="I25"/>
  <c r="L24"/>
  <c r="L23"/>
  <c r="L22"/>
  <c r="L21"/>
  <c r="I21"/>
  <c r="L20"/>
  <c r="L18"/>
  <c r="J18"/>
  <c r="I18"/>
  <c r="L17"/>
  <c r="J17"/>
  <c r="I17"/>
  <c r="K17" s="1"/>
  <c r="L16"/>
  <c r="J16"/>
  <c r="K16" s="1"/>
  <c r="I16"/>
  <c r="L13"/>
  <c r="J13"/>
  <c r="K13" s="1"/>
  <c r="I13"/>
  <c r="K11"/>
  <c r="J11"/>
  <c r="L11" s="1"/>
  <c r="I11"/>
  <c r="I10"/>
  <c r="K9"/>
  <c r="I9"/>
  <c r="L8"/>
  <c r="K8"/>
  <c r="I8"/>
  <c r="L6"/>
  <c r="J6"/>
  <c r="S6" s="1"/>
  <c r="I6"/>
  <c r="J5"/>
  <c r="K5" s="1"/>
  <c r="I5"/>
  <c r="J4"/>
  <c r="L4" s="1"/>
  <c r="I4"/>
  <c r="J23" i="20" l="1"/>
  <c r="K23" s="1"/>
  <c r="R25"/>
  <c r="J21"/>
  <c r="K21" s="1"/>
  <c r="D30"/>
  <c r="C31" s="1"/>
  <c r="K25"/>
  <c r="I22"/>
  <c r="K22" s="1"/>
  <c r="I25"/>
  <c r="R22" i="16"/>
  <c r="K23"/>
  <c r="J21"/>
  <c r="K21" s="1"/>
  <c r="I22"/>
  <c r="I25"/>
  <c r="D30"/>
  <c r="C31" s="1"/>
  <c r="K26"/>
  <c r="K22"/>
  <c r="I23"/>
  <c r="K25"/>
  <c r="I26"/>
  <c r="K24" i="18"/>
  <c r="J24" i="10"/>
  <c r="K24" s="1"/>
  <c r="I24" i="18"/>
  <c r="R27"/>
  <c r="D30"/>
  <c r="C31" s="1"/>
  <c r="K23"/>
  <c r="K26"/>
  <c r="I23"/>
  <c r="I26"/>
  <c r="R21" i="15"/>
  <c r="I22"/>
  <c r="R26"/>
  <c r="I25"/>
  <c r="J25"/>
  <c r="K25" s="1"/>
  <c r="J21"/>
  <c r="K21" s="1"/>
  <c r="J20" i="21"/>
  <c r="I24" i="15"/>
  <c r="I28"/>
  <c r="K26"/>
  <c r="K22"/>
  <c r="I23"/>
  <c r="K23" s="1"/>
  <c r="I26"/>
  <c r="K24" i="19"/>
  <c r="D30"/>
  <c r="C31" s="1"/>
  <c r="I24"/>
  <c r="I23"/>
  <c r="I27"/>
  <c r="I20"/>
  <c r="K20" s="1"/>
  <c r="K22"/>
  <c r="R25" i="14"/>
  <c r="J26"/>
  <c r="K26" s="1"/>
  <c r="R21"/>
  <c r="I23"/>
  <c r="K23" s="1"/>
  <c r="I24"/>
  <c r="I28"/>
  <c r="J20"/>
  <c r="K27"/>
  <c r="I22"/>
  <c r="K22" s="1"/>
  <c r="I25"/>
  <c r="J21" i="11"/>
  <c r="I22"/>
  <c r="I20" i="12"/>
  <c r="F32"/>
  <c r="R22" i="11"/>
  <c r="R21"/>
  <c r="K21"/>
  <c r="K22"/>
  <c r="K23"/>
  <c r="K27"/>
  <c r="R22" i="9"/>
  <c r="R24" i="10"/>
  <c r="K25"/>
  <c r="R28"/>
  <c r="I27"/>
  <c r="R27"/>
  <c r="K26"/>
  <c r="D30" i="21"/>
  <c r="C31" s="1"/>
  <c r="K29"/>
  <c r="I29"/>
  <c r="I20"/>
  <c r="R23"/>
  <c r="R27"/>
  <c r="S6"/>
  <c r="R22"/>
  <c r="R26"/>
  <c r="G31"/>
  <c r="S5"/>
  <c r="L6"/>
  <c r="Q7"/>
  <c r="L9"/>
  <c r="L11"/>
  <c r="K23"/>
  <c r="K27"/>
  <c r="S4"/>
  <c r="F32" i="18"/>
  <c r="R20" i="20"/>
  <c r="R24"/>
  <c r="R28"/>
  <c r="R23"/>
  <c r="R27"/>
  <c r="S6"/>
  <c r="S7" s="1"/>
  <c r="K20"/>
  <c r="K24"/>
  <c r="K28"/>
  <c r="Q30"/>
  <c r="G31"/>
  <c r="I20"/>
  <c r="F32" i="16"/>
  <c r="F32" i="19"/>
  <c r="R25"/>
  <c r="S4"/>
  <c r="S7" s="1"/>
  <c r="R20"/>
  <c r="L4"/>
  <c r="K21"/>
  <c r="K25"/>
  <c r="K29"/>
  <c r="Q7"/>
  <c r="R21"/>
  <c r="R29"/>
  <c r="R24"/>
  <c r="R29" i="18"/>
  <c r="K9"/>
  <c r="R21"/>
  <c r="R25"/>
  <c r="R20"/>
  <c r="R24"/>
  <c r="S6"/>
  <c r="S7" s="1"/>
  <c r="K21"/>
  <c r="K25"/>
  <c r="K20"/>
  <c r="S7" i="16"/>
  <c r="R20"/>
  <c r="R24"/>
  <c r="R28"/>
  <c r="S6"/>
  <c r="R23"/>
  <c r="R27"/>
  <c r="L6"/>
  <c r="Q7"/>
  <c r="L9"/>
  <c r="L10"/>
  <c r="L11"/>
  <c r="K24"/>
  <c r="K28"/>
  <c r="I20"/>
  <c r="K20" s="1"/>
  <c r="F32" i="15"/>
  <c r="D30"/>
  <c r="C31" s="1"/>
  <c r="S7"/>
  <c r="R20"/>
  <c r="R24"/>
  <c r="R28"/>
  <c r="S6"/>
  <c r="R23"/>
  <c r="R27"/>
  <c r="S5"/>
  <c r="L6"/>
  <c r="Q7"/>
  <c r="L9"/>
  <c r="L10"/>
  <c r="L11"/>
  <c r="K24"/>
  <c r="K28"/>
  <c r="I20"/>
  <c r="K20" s="1"/>
  <c r="R28" i="11"/>
  <c r="R25"/>
  <c r="D30"/>
  <c r="C31" s="1"/>
  <c r="K24"/>
  <c r="K25"/>
  <c r="K25" i="9"/>
  <c r="R25"/>
  <c r="I29" i="14"/>
  <c r="F32"/>
  <c r="L4"/>
  <c r="I27"/>
  <c r="K4"/>
  <c r="D30"/>
  <c r="C31" s="1"/>
  <c r="I21"/>
  <c r="K21" s="1"/>
  <c r="I26"/>
  <c r="R24"/>
  <c r="R28"/>
  <c r="S6"/>
  <c r="R23"/>
  <c r="R27"/>
  <c r="S5"/>
  <c r="S7" s="1"/>
  <c r="L6"/>
  <c r="Q7"/>
  <c r="L9"/>
  <c r="L11"/>
  <c r="K24"/>
  <c r="K28"/>
  <c r="I20"/>
  <c r="K4" i="12"/>
  <c r="K6" i="9"/>
  <c r="L6" i="10"/>
  <c r="K4"/>
  <c r="F32"/>
  <c r="R26"/>
  <c r="K20"/>
  <c r="K21"/>
  <c r="K22"/>
  <c r="R21"/>
  <c r="R25"/>
  <c r="R23"/>
  <c r="R22"/>
  <c r="K15"/>
  <c r="I20"/>
  <c r="K28"/>
  <c r="R29" i="9"/>
  <c r="K27"/>
  <c r="K28"/>
  <c r="K29"/>
  <c r="R24"/>
  <c r="R28"/>
  <c r="K18"/>
  <c r="I27"/>
  <c r="R23"/>
  <c r="R20" i="11"/>
  <c r="R24"/>
  <c r="R23"/>
  <c r="R27"/>
  <c r="R24" i="12"/>
  <c r="K27"/>
  <c r="K28"/>
  <c r="R22"/>
  <c r="R20"/>
  <c r="R28"/>
  <c r="R27"/>
  <c r="I22"/>
  <c r="R25"/>
  <c r="K6" i="10"/>
  <c r="K4" i="9"/>
  <c r="K5" i="11"/>
  <c r="K4"/>
  <c r="S4"/>
  <c r="S6" i="12"/>
  <c r="S7" s="1"/>
  <c r="K6"/>
  <c r="D30" i="10"/>
  <c r="C31" s="1"/>
  <c r="K23"/>
  <c r="D30" i="9"/>
  <c r="C31" s="1"/>
  <c r="K21"/>
  <c r="K22"/>
  <c r="K23"/>
  <c r="K24"/>
  <c r="I20"/>
  <c r="K20" s="1"/>
  <c r="K20" i="11"/>
  <c r="K28"/>
  <c r="K16" i="12"/>
  <c r="K20"/>
  <c r="K24"/>
  <c r="K25"/>
  <c r="I21"/>
  <c r="I23"/>
  <c r="D30"/>
  <c r="C31" s="1"/>
  <c r="K21"/>
  <c r="K23"/>
  <c r="L4"/>
  <c r="K5"/>
  <c r="K9"/>
  <c r="S5"/>
  <c r="G31" i="11"/>
  <c r="K9"/>
  <c r="S5"/>
  <c r="S7" s="1"/>
  <c r="L6"/>
  <c r="I20"/>
  <c r="S6"/>
  <c r="L4" i="10"/>
  <c r="K5"/>
  <c r="K9"/>
  <c r="S5"/>
  <c r="S7" s="1"/>
  <c r="G31" i="9"/>
  <c r="L10"/>
  <c r="S4"/>
  <c r="L5"/>
  <c r="L9"/>
  <c r="S5"/>
  <c r="I35" i="20" l="1"/>
  <c r="F38" s="1"/>
  <c r="I35" i="16"/>
  <c r="I36" s="1"/>
  <c r="I35" i="19"/>
  <c r="I36" s="1"/>
  <c r="K20" i="21"/>
  <c r="I35" s="1"/>
  <c r="F38" s="1"/>
  <c r="I30"/>
  <c r="S7"/>
  <c r="I30" i="20"/>
  <c r="I30" i="19"/>
  <c r="I30" i="18"/>
  <c r="K29"/>
  <c r="I35" s="1"/>
  <c r="F38" s="1"/>
  <c r="I30" i="16"/>
  <c r="I35" i="15"/>
  <c r="F38" s="1"/>
  <c r="I30"/>
  <c r="K20" i="14"/>
  <c r="K29"/>
  <c r="I30"/>
  <c r="I35" i="10"/>
  <c r="I36" s="1"/>
  <c r="I30" i="9"/>
  <c r="I30" i="12"/>
  <c r="I35" i="9"/>
  <c r="F38" s="1"/>
  <c r="O34" s="1"/>
  <c r="P34" s="1"/>
  <c r="I35" i="12"/>
  <c r="I36" s="1"/>
  <c r="I30" i="10"/>
  <c r="I35" i="11"/>
  <c r="I36" s="1"/>
  <c r="I30"/>
  <c r="S7" i="9"/>
  <c r="I36" i="20" l="1"/>
  <c r="I38" s="1"/>
  <c r="Q2" s="1"/>
  <c r="F38" i="16"/>
  <c r="O28" s="1"/>
  <c r="P28" s="1"/>
  <c r="O27" s="1"/>
  <c r="P27" s="1"/>
  <c r="O26" s="1"/>
  <c r="P26" s="1"/>
  <c r="O25" s="1"/>
  <c r="P25" s="1"/>
  <c r="O24" s="1"/>
  <c r="P24" s="1"/>
  <c r="O23" s="1"/>
  <c r="P23" s="1"/>
  <c r="O22" s="1"/>
  <c r="P22" s="1"/>
  <c r="O21" s="1"/>
  <c r="P21" s="1"/>
  <c r="O20" s="1"/>
  <c r="P20" s="1"/>
  <c r="O19" s="1"/>
  <c r="P19" s="1"/>
  <c r="O18" s="1"/>
  <c r="P18" s="1"/>
  <c r="O17" s="1"/>
  <c r="P17" s="1"/>
  <c r="O16" s="1"/>
  <c r="P16" s="1"/>
  <c r="O15" s="1"/>
  <c r="P15" s="1"/>
  <c r="F38" i="19"/>
  <c r="O9" s="1"/>
  <c r="P9" s="1"/>
  <c r="O8" s="1"/>
  <c r="P8" s="1"/>
  <c r="O7" s="1"/>
  <c r="P7" s="1"/>
  <c r="O6" s="1"/>
  <c r="P6" s="1"/>
  <c r="O5" s="1"/>
  <c r="P5" s="1"/>
  <c r="O4" s="1"/>
  <c r="P4" s="1"/>
  <c r="I35" i="14"/>
  <c r="F38" s="1"/>
  <c r="O34" s="1"/>
  <c r="P34" s="1"/>
  <c r="I38" i="12"/>
  <c r="I38" i="10"/>
  <c r="Q2" s="1"/>
  <c r="I36" i="21"/>
  <c r="I38" s="1"/>
  <c r="Q2" s="1"/>
  <c r="O12"/>
  <c r="P12" s="1"/>
  <c r="O11" s="1"/>
  <c r="P11" s="1"/>
  <c r="O9"/>
  <c r="P9" s="1"/>
  <c r="O8" s="1"/>
  <c r="P8" s="1"/>
  <c r="O7" s="1"/>
  <c r="P7" s="1"/>
  <c r="O6" s="1"/>
  <c r="P6" s="1"/>
  <c r="O5" s="1"/>
  <c r="P5" s="1"/>
  <c r="O4" s="1"/>
  <c r="P4" s="1"/>
  <c r="O34"/>
  <c r="P34" s="1"/>
  <c r="I38" i="19"/>
  <c r="Q2" s="1"/>
  <c r="I38" i="11"/>
  <c r="Q2" s="1"/>
  <c r="O28" i="20"/>
  <c r="P28" s="1"/>
  <c r="O27" s="1"/>
  <c r="P27" s="1"/>
  <c r="O26" s="1"/>
  <c r="P26" s="1"/>
  <c r="O25" s="1"/>
  <c r="P25" s="1"/>
  <c r="O24" s="1"/>
  <c r="P24" s="1"/>
  <c r="O23" s="1"/>
  <c r="P23" s="1"/>
  <c r="O22" s="1"/>
  <c r="P22" s="1"/>
  <c r="O21" s="1"/>
  <c r="P21" s="1"/>
  <c r="O20" s="1"/>
  <c r="P20" s="1"/>
  <c r="O19" s="1"/>
  <c r="P19" s="1"/>
  <c r="O18" s="1"/>
  <c r="P18" s="1"/>
  <c r="O17" s="1"/>
  <c r="P17" s="1"/>
  <c r="O16" s="1"/>
  <c r="P16" s="1"/>
  <c r="O15" s="1"/>
  <c r="P15" s="1"/>
  <c r="O12"/>
  <c r="P12" s="1"/>
  <c r="O11" s="1"/>
  <c r="P11" s="1"/>
  <c r="O10" s="1"/>
  <c r="P10" s="1"/>
  <c r="O9" s="1"/>
  <c r="P9" s="1"/>
  <c r="O8" s="1"/>
  <c r="P8" s="1"/>
  <c r="O7" s="1"/>
  <c r="P7" s="1"/>
  <c r="O6" s="1"/>
  <c r="P6" s="1"/>
  <c r="O34"/>
  <c r="P34" s="1"/>
  <c r="O4"/>
  <c r="P4" s="1"/>
  <c r="I38" i="16"/>
  <c r="Q2" s="1"/>
  <c r="O12" i="19"/>
  <c r="P12" s="1"/>
  <c r="O11" s="1"/>
  <c r="P11" s="1"/>
  <c r="I36" i="18"/>
  <c r="O12"/>
  <c r="P12" s="1"/>
  <c r="O11" s="1"/>
  <c r="P11" s="1"/>
  <c r="O10" s="1"/>
  <c r="P10" s="1"/>
  <c r="O9" s="1"/>
  <c r="P9" s="1"/>
  <c r="O8" s="1"/>
  <c r="P8" s="1"/>
  <c r="O7" s="1"/>
  <c r="P7" s="1"/>
  <c r="O6" s="1"/>
  <c r="P6" s="1"/>
  <c r="O5" s="1"/>
  <c r="P5" s="1"/>
  <c r="O4" s="1"/>
  <c r="P4" s="1"/>
  <c r="O34"/>
  <c r="P34" s="1"/>
  <c r="O27"/>
  <c r="P27" s="1"/>
  <c r="O26" s="1"/>
  <c r="P26" s="1"/>
  <c r="O25" s="1"/>
  <c r="P25" s="1"/>
  <c r="O24" s="1"/>
  <c r="P24" s="1"/>
  <c r="O23" s="1"/>
  <c r="P23" s="1"/>
  <c r="O22" s="1"/>
  <c r="P22" s="1"/>
  <c r="O21" s="1"/>
  <c r="P21" s="1"/>
  <c r="O20" s="1"/>
  <c r="P20" s="1"/>
  <c r="O19" s="1"/>
  <c r="P19" s="1"/>
  <c r="O18" s="1"/>
  <c r="P18" s="1"/>
  <c r="O16"/>
  <c r="P16" s="1"/>
  <c r="O15" s="1"/>
  <c r="P15" s="1"/>
  <c r="I36" i="15"/>
  <c r="O28"/>
  <c r="P28" s="1"/>
  <c r="O27" s="1"/>
  <c r="P27" s="1"/>
  <c r="O26" s="1"/>
  <c r="P26" s="1"/>
  <c r="O25" s="1"/>
  <c r="P25" s="1"/>
  <c r="O24" s="1"/>
  <c r="P24" s="1"/>
  <c r="O23" s="1"/>
  <c r="P23" s="1"/>
  <c r="O22" s="1"/>
  <c r="P22" s="1"/>
  <c r="O21" s="1"/>
  <c r="P21" s="1"/>
  <c r="O20" s="1"/>
  <c r="P20" s="1"/>
  <c r="O19" s="1"/>
  <c r="P19" s="1"/>
  <c r="O18" s="1"/>
  <c r="P18" s="1"/>
  <c r="O16"/>
  <c r="P16" s="1"/>
  <c r="O15" s="1"/>
  <c r="P15" s="1"/>
  <c r="O12"/>
  <c r="P12" s="1"/>
  <c r="O11" s="1"/>
  <c r="P11" s="1"/>
  <c r="O10" s="1"/>
  <c r="P10" s="1"/>
  <c r="O9" s="1"/>
  <c r="P9" s="1"/>
  <c r="O8" s="1"/>
  <c r="P8" s="1"/>
  <c r="O7" s="1"/>
  <c r="P7" s="1"/>
  <c r="O6" s="1"/>
  <c r="P6" s="1"/>
  <c r="O5" s="1"/>
  <c r="P5" s="1"/>
  <c r="O4" s="1"/>
  <c r="P4" s="1"/>
  <c r="O34"/>
  <c r="P34" s="1"/>
  <c r="F38" i="10"/>
  <c r="O34" s="1"/>
  <c r="P34" s="1"/>
  <c r="O33" s="1"/>
  <c r="P33" s="1"/>
  <c r="O32" s="1"/>
  <c r="P32" s="1"/>
  <c r="O31" s="1"/>
  <c r="P31" s="1"/>
  <c r="O30" s="1"/>
  <c r="P30" s="1"/>
  <c r="O28" s="1"/>
  <c r="P28" s="1"/>
  <c r="O27" s="1"/>
  <c r="P27" s="1"/>
  <c r="O26" s="1"/>
  <c r="P26" s="1"/>
  <c r="O25" s="1"/>
  <c r="P25" s="1"/>
  <c r="O24" s="1"/>
  <c r="P24" s="1"/>
  <c r="O23" s="1"/>
  <c r="P23" s="1"/>
  <c r="O22" s="1"/>
  <c r="P22" s="1"/>
  <c r="O21" s="1"/>
  <c r="P21" s="1"/>
  <c r="O20" s="1"/>
  <c r="P20" s="1"/>
  <c r="O19" s="1"/>
  <c r="P19" s="1"/>
  <c r="O18" s="1"/>
  <c r="P18" s="1"/>
  <c r="O16" s="1"/>
  <c r="P16" s="1"/>
  <c r="O15" s="1"/>
  <c r="P15" s="1"/>
  <c r="O12" s="1"/>
  <c r="P12" s="1"/>
  <c r="O11" s="1"/>
  <c r="P11" s="1"/>
  <c r="O10" s="1"/>
  <c r="P10" s="1"/>
  <c r="O9" s="1"/>
  <c r="P9" s="1"/>
  <c r="O8" s="1"/>
  <c r="P8" s="1"/>
  <c r="O7" s="1"/>
  <c r="P7" s="1"/>
  <c r="O6" s="1"/>
  <c r="P6" s="1"/>
  <c r="O5" s="1"/>
  <c r="P5" s="1"/>
  <c r="O4" s="1"/>
  <c r="P4" s="1"/>
  <c r="F38" i="12"/>
  <c r="O34" s="1"/>
  <c r="P34" s="1"/>
  <c r="O33" s="1"/>
  <c r="P33" s="1"/>
  <c r="O32" s="1"/>
  <c r="P32" s="1"/>
  <c r="O31" s="1"/>
  <c r="P31" s="1"/>
  <c r="O30" s="1"/>
  <c r="P30" s="1"/>
  <c r="O28" s="1"/>
  <c r="P28" s="1"/>
  <c r="O27" s="1"/>
  <c r="P27" s="1"/>
  <c r="O25" s="1"/>
  <c r="P25" s="1"/>
  <c r="O24" s="1"/>
  <c r="P24" s="1"/>
  <c r="O23" s="1"/>
  <c r="P23" s="1"/>
  <c r="O22" s="1"/>
  <c r="P22" s="1"/>
  <c r="O21" s="1"/>
  <c r="P21" s="1"/>
  <c r="O20" s="1"/>
  <c r="P20" s="1"/>
  <c r="O19" s="1"/>
  <c r="P19" s="1"/>
  <c r="O18" s="1"/>
  <c r="P18" s="1"/>
  <c r="O17" s="1"/>
  <c r="P17" s="1"/>
  <c r="O16" s="1"/>
  <c r="P16" s="1"/>
  <c r="O14" s="1"/>
  <c r="P14" s="1"/>
  <c r="O13" s="1"/>
  <c r="P13" s="1"/>
  <c r="O12" s="1"/>
  <c r="P12" s="1"/>
  <c r="O11" s="1"/>
  <c r="P11" s="1"/>
  <c r="O10" s="1"/>
  <c r="P10" s="1"/>
  <c r="O9" s="1"/>
  <c r="P9" s="1"/>
  <c r="O8" s="1"/>
  <c r="P8" s="1"/>
  <c r="O7" s="1"/>
  <c r="P7" s="1"/>
  <c r="O6" s="1"/>
  <c r="P6" s="1"/>
  <c r="O5" s="1"/>
  <c r="P5" s="1"/>
  <c r="O4" s="1"/>
  <c r="P4" s="1"/>
  <c r="Q2"/>
  <c r="I36" i="9"/>
  <c r="O33"/>
  <c r="P33" s="1"/>
  <c r="O32" s="1"/>
  <c r="P32" s="1"/>
  <c r="O31" s="1"/>
  <c r="P31" s="1"/>
  <c r="O30" s="1"/>
  <c r="P30" s="1"/>
  <c r="O29" s="1"/>
  <c r="P29" s="1"/>
  <c r="O28" s="1"/>
  <c r="P28" s="1"/>
  <c r="O27" s="1"/>
  <c r="P27" s="1"/>
  <c r="O25" s="1"/>
  <c r="P25" s="1"/>
  <c r="O24" s="1"/>
  <c r="P24" s="1"/>
  <c r="O23" s="1"/>
  <c r="P23" s="1"/>
  <c r="O22" s="1"/>
  <c r="P22" s="1"/>
  <c r="O21" s="1"/>
  <c r="P21" s="1"/>
  <c r="O20" s="1"/>
  <c r="P20" s="1"/>
  <c r="O19" s="1"/>
  <c r="P19" s="1"/>
  <c r="O18" s="1"/>
  <c r="P18" s="1"/>
  <c r="O17" s="1"/>
  <c r="P17" s="1"/>
  <c r="O16" s="1"/>
  <c r="P16" s="1"/>
  <c r="O13" s="1"/>
  <c r="P13" s="1"/>
  <c r="O12" s="1"/>
  <c r="P12" s="1"/>
  <c r="O11" s="1"/>
  <c r="P11" s="1"/>
  <c r="O10" s="1"/>
  <c r="P10" s="1"/>
  <c r="O9" s="1"/>
  <c r="P9" s="1"/>
  <c r="O8" s="1"/>
  <c r="P8" s="1"/>
  <c r="O7" s="1"/>
  <c r="P7" s="1"/>
  <c r="O6" s="1"/>
  <c r="P6" s="1"/>
  <c r="O5" s="1"/>
  <c r="P5" s="1"/>
  <c r="O4" s="1"/>
  <c r="P4" s="1"/>
  <c r="P35"/>
  <c r="F38" i="11"/>
  <c r="O34" s="1"/>
  <c r="P34" s="1"/>
  <c r="P35" s="1"/>
  <c r="O12" i="16" l="1"/>
  <c r="P12" s="1"/>
  <c r="O11" s="1"/>
  <c r="P11" s="1"/>
  <c r="O10" s="1"/>
  <c r="P10" s="1"/>
  <c r="O9" s="1"/>
  <c r="P9" s="1"/>
  <c r="O8" s="1"/>
  <c r="P8" s="1"/>
  <c r="O7" s="1"/>
  <c r="P7" s="1"/>
  <c r="O6" s="1"/>
  <c r="P6" s="1"/>
  <c r="O4" s="1"/>
  <c r="P4" s="1"/>
  <c r="O34"/>
  <c r="P34" s="1"/>
  <c r="P35" s="1"/>
  <c r="O34" i="19"/>
  <c r="P34" s="1"/>
  <c r="P35" s="1"/>
  <c r="O12" i="14"/>
  <c r="P12" s="1"/>
  <c r="O11" s="1"/>
  <c r="P11" s="1"/>
  <c r="O9" s="1"/>
  <c r="P9" s="1"/>
  <c r="O8" s="1"/>
  <c r="P8" s="1"/>
  <c r="O7" s="1"/>
  <c r="P7" s="1"/>
  <c r="O6" s="1"/>
  <c r="P6" s="1"/>
  <c r="O5" s="1"/>
  <c r="P5" s="1"/>
  <c r="O4" s="1"/>
  <c r="P4" s="1"/>
  <c r="I36"/>
  <c r="I38" s="1"/>
  <c r="Q2" s="1"/>
  <c r="I38" i="9"/>
  <c r="Q2" s="1"/>
  <c r="O33" i="21"/>
  <c r="P33" s="1"/>
  <c r="O32" s="1"/>
  <c r="P32" s="1"/>
  <c r="O31" s="1"/>
  <c r="P31" s="1"/>
  <c r="O30" s="1"/>
  <c r="P30" s="1"/>
  <c r="O29" s="1"/>
  <c r="P29" s="1"/>
  <c r="O28" s="1"/>
  <c r="P28" s="1"/>
  <c r="O27" s="1"/>
  <c r="P27" s="1"/>
  <c r="O26" s="1"/>
  <c r="P26" s="1"/>
  <c r="O25" s="1"/>
  <c r="P25" s="1"/>
  <c r="O24" s="1"/>
  <c r="P24" s="1"/>
  <c r="O23" s="1"/>
  <c r="P23" s="1"/>
  <c r="O22" s="1"/>
  <c r="P22" s="1"/>
  <c r="O21" s="1"/>
  <c r="P21" s="1"/>
  <c r="O20" s="1"/>
  <c r="P20" s="1"/>
  <c r="O19" s="1"/>
  <c r="P19" s="1"/>
  <c r="O18" s="1"/>
  <c r="P18" s="1"/>
  <c r="O17" s="1"/>
  <c r="P17" s="1"/>
  <c r="O16" s="1"/>
  <c r="P16" s="1"/>
  <c r="P35"/>
  <c r="I38" i="18"/>
  <c r="Q2" s="1"/>
  <c r="I38" i="15"/>
  <c r="Q2" s="1"/>
  <c r="O33" i="20"/>
  <c r="P33" s="1"/>
  <c r="O32" s="1"/>
  <c r="P32" s="1"/>
  <c r="O31" s="1"/>
  <c r="P31" s="1"/>
  <c r="O30" s="1"/>
  <c r="P30" s="1"/>
  <c r="P35"/>
  <c r="O33" i="18"/>
  <c r="P33" s="1"/>
  <c r="O32" s="1"/>
  <c r="P32" s="1"/>
  <c r="O31" s="1"/>
  <c r="P31" s="1"/>
  <c r="O30" s="1"/>
  <c r="P30" s="1"/>
  <c r="O29" s="1"/>
  <c r="P29" s="1"/>
  <c r="P35"/>
  <c r="O33" i="15"/>
  <c r="P33" s="1"/>
  <c r="O32" s="1"/>
  <c r="P32" s="1"/>
  <c r="O31" s="1"/>
  <c r="P31" s="1"/>
  <c r="O30" s="1"/>
  <c r="P30" s="1"/>
  <c r="P35"/>
  <c r="O33" i="14"/>
  <c r="P33" s="1"/>
  <c r="O32" s="1"/>
  <c r="P32" s="1"/>
  <c r="O31" s="1"/>
  <c r="P31" s="1"/>
  <c r="O30" s="1"/>
  <c r="P30" s="1"/>
  <c r="O29" s="1"/>
  <c r="P29" s="1"/>
  <c r="O28" s="1"/>
  <c r="P28" s="1"/>
  <c r="O27" s="1"/>
  <c r="P27" s="1"/>
  <c r="O26" s="1"/>
  <c r="P26" s="1"/>
  <c r="O25" s="1"/>
  <c r="P25" s="1"/>
  <c r="O24" s="1"/>
  <c r="P24" s="1"/>
  <c r="O23" s="1"/>
  <c r="P23" s="1"/>
  <c r="O22" s="1"/>
  <c r="P22" s="1"/>
  <c r="O21" s="1"/>
  <c r="P21" s="1"/>
  <c r="O20" s="1"/>
  <c r="P20" s="1"/>
  <c r="O19" s="1"/>
  <c r="P19" s="1"/>
  <c r="O18" s="1"/>
  <c r="P18" s="1"/>
  <c r="O17" s="1"/>
  <c r="P17" s="1"/>
  <c r="O16" s="1"/>
  <c r="P16" s="1"/>
  <c r="P35"/>
  <c r="P35" i="10"/>
  <c r="P35" i="12"/>
  <c r="O33" i="11"/>
  <c r="P33" s="1"/>
  <c r="O32" s="1"/>
  <c r="P32" s="1"/>
  <c r="O31" s="1"/>
  <c r="P31" s="1"/>
  <c r="O30" s="1"/>
  <c r="P30" s="1"/>
  <c r="O28" s="1"/>
  <c r="P28" s="1"/>
  <c r="O27" s="1"/>
  <c r="P27" s="1"/>
  <c r="O25" s="1"/>
  <c r="P25" s="1"/>
  <c r="O24" s="1"/>
  <c r="P24" s="1"/>
  <c r="O23" s="1"/>
  <c r="P23" s="1"/>
  <c r="O22" s="1"/>
  <c r="P22" s="1"/>
  <c r="O21" s="1"/>
  <c r="P21" s="1"/>
  <c r="O20" s="1"/>
  <c r="P20" s="1"/>
  <c r="O19" s="1"/>
  <c r="P19" s="1"/>
  <c r="O17" s="1"/>
  <c r="P17" s="1"/>
  <c r="O16" s="1"/>
  <c r="P16" s="1"/>
  <c r="O14" s="1"/>
  <c r="P14" s="1"/>
  <c r="O13" s="1"/>
  <c r="P13" s="1"/>
  <c r="O12" s="1"/>
  <c r="P12" s="1"/>
  <c r="O10" s="1"/>
  <c r="P10" s="1"/>
  <c r="O9" s="1"/>
  <c r="P9" s="1"/>
  <c r="O8" s="1"/>
  <c r="P8" s="1"/>
  <c r="O7" s="1"/>
  <c r="P7" s="1"/>
  <c r="O6" s="1"/>
  <c r="P6" s="1"/>
  <c r="O5" s="1"/>
  <c r="P5" s="1"/>
  <c r="O4" s="1"/>
  <c r="P4" s="1"/>
  <c r="O33" i="16" l="1"/>
  <c r="P33" s="1"/>
  <c r="O32" s="1"/>
  <c r="P32" s="1"/>
  <c r="O31" s="1"/>
  <c r="P31" s="1"/>
  <c r="O30" s="1"/>
  <c r="P30" s="1"/>
  <c r="O33" i="19"/>
  <c r="P33" s="1"/>
  <c r="O32" s="1"/>
  <c r="P32" s="1"/>
  <c r="O31" s="1"/>
  <c r="P31" s="1"/>
  <c r="O30" s="1"/>
  <c r="P30" s="1"/>
  <c r="O29" s="1"/>
  <c r="P29" s="1"/>
  <c r="O27" s="1"/>
  <c r="P27" s="1"/>
  <c r="O25" s="1"/>
  <c r="P25" s="1"/>
  <c r="O24" s="1"/>
  <c r="P24" s="1"/>
  <c r="O23" s="1"/>
  <c r="P23" s="1"/>
  <c r="O22" s="1"/>
  <c r="P22" s="1"/>
  <c r="O21" s="1"/>
  <c r="P21" s="1"/>
  <c r="O20" s="1"/>
  <c r="P20" s="1"/>
  <c r="O19" s="1"/>
  <c r="P19" s="1"/>
  <c r="O18" s="1"/>
  <c r="P18" s="1"/>
  <c r="O17" s="1"/>
  <c r="P17" s="1"/>
  <c r="O16" s="1"/>
  <c r="P16" s="1"/>
</calcChain>
</file>

<file path=xl/sharedStrings.xml><?xml version="1.0" encoding="utf-8"?>
<sst xmlns="http://schemas.openxmlformats.org/spreadsheetml/2006/main" count="1596" uniqueCount="96">
  <si>
    <t>Summe</t>
  </si>
  <si>
    <t>Punkte</t>
  </si>
  <si>
    <t>Schnitt</t>
  </si>
  <si>
    <t xml:space="preserve">Kernfächer </t>
  </si>
  <si>
    <t>Niveau</t>
  </si>
  <si>
    <t>Stunden</t>
  </si>
  <si>
    <t>Deutsch</t>
  </si>
  <si>
    <t>Mathematik</t>
  </si>
  <si>
    <t xml:space="preserve">Profilbereich </t>
  </si>
  <si>
    <t>Geschichte</t>
  </si>
  <si>
    <t>Bildende Kunst</t>
  </si>
  <si>
    <t>PGW</t>
  </si>
  <si>
    <t>Seminar</t>
  </si>
  <si>
    <t xml:space="preserve">Wahlpflicht </t>
  </si>
  <si>
    <t>Sport</t>
  </si>
  <si>
    <t>Wahlbereich</t>
  </si>
  <si>
    <t>Qualifizierungskurs Latein (2 Wst.);</t>
  </si>
  <si>
    <t>Geographie (2 Wst.)</t>
  </si>
  <si>
    <t>Informatik (2 Wst.)</t>
  </si>
  <si>
    <r>
      <t xml:space="preserve">Gesamtstunden </t>
    </r>
    <r>
      <rPr>
        <b/>
        <sz val="11"/>
        <color indexed="8"/>
        <rFont val="Calibri"/>
        <family val="2"/>
      </rPr>
      <t>(34 Wst.)</t>
    </r>
  </si>
  <si>
    <t>Englisch</t>
  </si>
  <si>
    <t>Spanisch</t>
  </si>
  <si>
    <t>Latein</t>
  </si>
  <si>
    <t>Religion</t>
  </si>
  <si>
    <t>Philosophie</t>
  </si>
  <si>
    <t>Biologie</t>
  </si>
  <si>
    <t>Chemie</t>
  </si>
  <si>
    <t>Physik</t>
  </si>
  <si>
    <t>Französisch</t>
  </si>
  <si>
    <t>Qualifizierungskurs Latein</t>
  </si>
  <si>
    <t>Rechtskunde</t>
  </si>
  <si>
    <t>Psychologie</t>
  </si>
  <si>
    <t>Pädagogik</t>
  </si>
  <si>
    <t>DSP</t>
  </si>
  <si>
    <t>Musik</t>
  </si>
  <si>
    <t>Chor</t>
  </si>
  <si>
    <t>Orchester</t>
  </si>
  <si>
    <t>Bigband</t>
  </si>
  <si>
    <t>Wirtschaft auf Englisch</t>
  </si>
  <si>
    <t>Informatik</t>
  </si>
  <si>
    <t>Auswahlliste!</t>
  </si>
  <si>
    <t>Geographie</t>
  </si>
  <si>
    <t>nicht gewählt</t>
  </si>
  <si>
    <t>Rechtskunde, Psychologie, Pädagogik (2 Wst.)</t>
  </si>
  <si>
    <t>profilgebendes Fach (erhöhtes Niveau)</t>
  </si>
  <si>
    <t>profilbegleitendes Fach</t>
  </si>
  <si>
    <t>DSP, Kunst oder Musik (2 Wst.)</t>
  </si>
  <si>
    <t xml:space="preserve">Biologie, Chemie oder Physik (4 Wst.) </t>
  </si>
  <si>
    <t>Religion oder Philosophie  (2 Wst.)</t>
  </si>
  <si>
    <t>Kunst</t>
  </si>
  <si>
    <t>Physik (4 Wst.)</t>
  </si>
  <si>
    <t>Musik-Prakt.: Bigband, Orchester oder Chor (2 Wst.)</t>
  </si>
  <si>
    <t>Geschichte oder PGW (2 Wst.)</t>
  </si>
  <si>
    <t>Geschichte oder Geographie (2 Wst.)</t>
  </si>
  <si>
    <r>
      <t xml:space="preserve">Chemie </t>
    </r>
    <r>
      <rPr>
        <sz val="11"/>
        <color indexed="8"/>
        <rFont val="Calibri"/>
        <family val="2"/>
      </rPr>
      <t>oder Physik (4 Wst.)</t>
    </r>
  </si>
  <si>
    <r>
      <t xml:space="preserve">Spanisch, Französisch, Englisch  </t>
    </r>
    <r>
      <rPr>
        <sz val="11"/>
        <color indexed="8"/>
        <rFont val="Calibri"/>
        <family val="2"/>
      </rPr>
      <t>oder Latein (4 Wst.),</t>
    </r>
  </si>
  <si>
    <r>
      <t xml:space="preserve">Biologie, Chemie </t>
    </r>
    <r>
      <rPr>
        <sz val="11"/>
        <color indexed="8"/>
        <rFont val="Calibri"/>
        <family val="2"/>
      </rPr>
      <t>oder Physik (4 Wst.)</t>
    </r>
  </si>
  <si>
    <r>
      <t xml:space="preserve">Pädagogik </t>
    </r>
    <r>
      <rPr>
        <sz val="11"/>
        <color indexed="8"/>
        <rFont val="Calibri"/>
        <family val="2"/>
      </rPr>
      <t>oder Wirtschaft auf Englisch (2 Wst.)</t>
    </r>
  </si>
  <si>
    <t>Wirtschaft auf Englisch (2 Wst.)</t>
  </si>
  <si>
    <t>Note S1</t>
  </si>
  <si>
    <t>Note S2</t>
  </si>
  <si>
    <t>Note S4</t>
  </si>
  <si>
    <t>Faktor</t>
  </si>
  <si>
    <t>Anzahl eingebrachter Kurse:</t>
  </si>
  <si>
    <t>EN</t>
  </si>
  <si>
    <t>GN</t>
  </si>
  <si>
    <t>Niveau?</t>
  </si>
  <si>
    <t>Block 2: Abiturprüfungen</t>
  </si>
  <si>
    <t>1. Prüfungsfach:</t>
  </si>
  <si>
    <t>2. Prüfungsfach:</t>
  </si>
  <si>
    <t>3. Prüfungsfach:</t>
  </si>
  <si>
    <t>4. Prüfungsfach (mündlich):</t>
  </si>
  <si>
    <t>Kernfach</t>
  </si>
  <si>
    <t>Ergebnis</t>
  </si>
  <si>
    <t>Punktzahl Block 2</t>
  </si>
  <si>
    <t>Produkt</t>
  </si>
  <si>
    <t>Punktzahl Block 1</t>
  </si>
  <si>
    <t>Anzahl</t>
  </si>
  <si>
    <t>Gesamtpunktzahl</t>
  </si>
  <si>
    <t>Durchschnitt</t>
  </si>
  <si>
    <t>Berechnung</t>
  </si>
  <si>
    <r>
      <t xml:space="preserve">Deutsch, wgf. Fremdsprache, Mathematik müssen alle belegt werden, zwei auf erhöhtem Niveau  (EN) - bitte </t>
    </r>
    <r>
      <rPr>
        <b/>
        <sz val="11"/>
        <color indexed="8"/>
        <rFont val="Calibri"/>
        <family val="2"/>
      </rPr>
      <t>„EN“</t>
    </r>
    <r>
      <rPr>
        <sz val="11"/>
        <rFont val="Calibri"/>
        <family val="2"/>
      </rPr>
      <t xml:space="preserve"> oder ""</t>
    </r>
    <r>
      <rPr>
        <b/>
        <sz val="11"/>
        <rFont val="Calibri"/>
        <family val="2"/>
      </rPr>
      <t>GN</t>
    </r>
    <r>
      <rPr>
        <sz val="11"/>
        <rFont val="Calibri"/>
        <family val="2"/>
      </rPr>
      <t>"angeben.</t>
    </r>
  </si>
  <si>
    <t>Block 1: Semesterergebnisse</t>
  </si>
  <si>
    <t>Faktor 2 ok?</t>
  </si>
  <si>
    <t>wgf. Fremdsprache</t>
  </si>
  <si>
    <t>Geographie, Geschichte oder Geographie (2 Wst.) - zwei der Fächer müssen belegt werden.</t>
  </si>
  <si>
    <t>Rechtskunde (2 Wst.)</t>
  </si>
  <si>
    <t>Unten die Registrierkarte für das gewünschte Profil wählen!</t>
  </si>
  <si>
    <t>DSP oder Musik (2 Wst.)</t>
  </si>
  <si>
    <t>PGW (2 Wst.)</t>
  </si>
  <si>
    <t>History</t>
  </si>
  <si>
    <t>Geography</t>
  </si>
  <si>
    <t>Cambridge Certificate (2 Wst., nur 11. Klasse)</t>
  </si>
  <si>
    <t>Cambridge Certificate</t>
  </si>
  <si>
    <r>
      <t>Biologie oder Chemie</t>
    </r>
    <r>
      <rPr>
        <sz val="11"/>
        <color indexed="8"/>
        <rFont val="Calibri"/>
        <family val="2"/>
      </rPr>
      <t xml:space="preserve"> (4 Wst.)</t>
    </r>
  </si>
  <si>
    <t>Geschichte (2 Wst.)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</si>
</sst>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1"/>
      <color theme="4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0"/>
      <color theme="4"/>
      <name val="Arial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i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9" fillId="4" borderId="4" xfId="0" applyFont="1" applyFill="1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vertical="center" wrapText="1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16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6" fillId="0" borderId="6" xfId="0" applyFont="1" applyFill="1" applyBorder="1" applyAlignment="1" applyProtection="1">
      <alignment vertical="center" wrapText="1"/>
      <protection hidden="1"/>
    </xf>
    <xf numFmtId="0" fontId="12" fillId="0" borderId="11" xfId="0" applyFont="1" applyFill="1" applyBorder="1" applyAlignment="1" applyProtection="1">
      <alignment horizontal="center" vertical="center" wrapText="1"/>
      <protection locked="0"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center" vertical="center" wrapText="1"/>
      <protection locked="0" hidden="1"/>
    </xf>
    <xf numFmtId="0" fontId="12" fillId="0" borderId="4" xfId="0" applyFont="1" applyBorder="1" applyAlignment="1" applyProtection="1">
      <alignment horizontal="center" vertical="center" wrapText="1"/>
      <protection locked="0" hidden="1"/>
    </xf>
    <xf numFmtId="0" fontId="12" fillId="0" borderId="20" xfId="0" applyFont="1" applyBorder="1" applyAlignment="1" applyProtection="1">
      <alignment horizontal="center" vertical="center" wrapText="1"/>
      <protection locked="0"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/>
      <protection hidden="1"/>
    </xf>
    <xf numFmtId="164" fontId="13" fillId="0" borderId="0" xfId="0" applyNumberFormat="1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2" fillId="0" borderId="6" xfId="0" applyFont="1" applyFill="1" applyBorder="1" applyAlignment="1" applyProtection="1">
      <alignment vertical="center" wrapText="1"/>
      <protection locked="0" hidden="1"/>
    </xf>
    <xf numFmtId="164" fontId="11" fillId="0" borderId="0" xfId="0" applyNumberFormat="1" applyFont="1" applyBorder="1" applyAlignment="1" applyProtection="1">
      <alignment horizontal="center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Alignment="1" applyProtection="1">
      <alignment horizontal="center"/>
      <protection hidden="1"/>
    </xf>
    <xf numFmtId="164" fontId="11" fillId="0" borderId="0" xfId="0" applyNumberFormat="1" applyFont="1" applyFill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vertical="center" wrapText="1"/>
      <protection hidden="1"/>
    </xf>
    <xf numFmtId="0" fontId="6" fillId="0" borderId="6" xfId="0" applyFont="1" applyBorder="1" applyAlignment="1" applyProtection="1">
      <alignment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vertical="center" wrapText="1"/>
      <protection hidden="1"/>
    </xf>
    <xf numFmtId="0" fontId="5" fillId="0" borderId="11" xfId="0" applyFont="1" applyFill="1" applyBorder="1" applyAlignment="1" applyProtection="1">
      <alignment horizontal="center" vertical="center" wrapText="1"/>
      <protection hidden="1"/>
    </xf>
    <xf numFmtId="0" fontId="6" fillId="0" borderId="15" xfId="0" applyFont="1" applyFill="1" applyBorder="1" applyAlignment="1" applyProtection="1">
      <alignment horizontal="center" vertical="center" wrapText="1"/>
      <protection hidden="1"/>
    </xf>
    <xf numFmtId="0" fontId="12" fillId="0" borderId="17" xfId="0" applyFont="1" applyFill="1" applyBorder="1" applyAlignment="1" applyProtection="1">
      <alignment horizontal="center" vertical="center" wrapText="1"/>
      <protection locked="0" hidden="1"/>
    </xf>
    <xf numFmtId="0" fontId="12" fillId="0" borderId="4" xfId="0" applyFont="1" applyFill="1" applyBorder="1" applyAlignment="1" applyProtection="1">
      <alignment horizontal="center" vertical="center" wrapText="1"/>
      <protection locked="0" hidden="1"/>
    </xf>
    <xf numFmtId="0" fontId="12" fillId="0" borderId="20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horizontal="left" vertical="center" wrapText="1"/>
      <protection hidden="1"/>
    </xf>
    <xf numFmtId="0" fontId="12" fillId="0" borderId="6" xfId="0" applyFont="1" applyFill="1" applyBorder="1" applyAlignment="1" applyProtection="1">
      <alignment vertical="center" wrapText="1"/>
      <protection locked="0" hidden="1"/>
    </xf>
    <xf numFmtId="0" fontId="6" fillId="0" borderId="9" xfId="0" applyFont="1" applyFill="1" applyBorder="1" applyAlignment="1" applyProtection="1">
      <alignment horizontal="center" vertical="center" wrapText="1"/>
      <protection hidden="1"/>
    </xf>
    <xf numFmtId="164" fontId="13" fillId="0" borderId="0" xfId="0" applyNumberFormat="1" applyFont="1" applyFill="1" applyBorder="1" applyAlignment="1" applyProtection="1">
      <alignment horizontal="center"/>
      <protection hidden="1"/>
    </xf>
    <xf numFmtId="0" fontId="6" fillId="0" borderId="10" xfId="0" applyFont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locked="0" hidden="1"/>
    </xf>
    <xf numFmtId="0" fontId="12" fillId="0" borderId="20" xfId="0" applyFont="1" applyBorder="1" applyAlignment="1" applyProtection="1">
      <alignment horizontal="center" vertical="center" wrapText="1"/>
      <protection locked="0"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locked="0"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 applyProtection="1">
      <alignment horizontal="center" vertical="center" wrapText="1"/>
      <protection locked="0"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2" borderId="9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13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20" fillId="0" borderId="0" xfId="0" applyFont="1" applyBorder="1" applyAlignment="1" applyProtection="1">
      <alignment vertical="center"/>
      <protection hidden="1"/>
    </xf>
    <xf numFmtId="0" fontId="20" fillId="0" borderId="12" xfId="0" applyFont="1" applyBorder="1" applyAlignment="1" applyProtection="1">
      <alignment vertical="center"/>
      <protection hidden="1"/>
    </xf>
    <xf numFmtId="0" fontId="18" fillId="2" borderId="4" xfId="0" applyFont="1" applyFill="1" applyBorder="1" applyAlignment="1" applyProtection="1">
      <alignment horizontal="center" vertical="center" wrapText="1"/>
      <protection hidden="1"/>
    </xf>
    <xf numFmtId="0" fontId="21" fillId="0" borderId="6" xfId="0" applyFont="1" applyFill="1" applyBorder="1" applyAlignment="1" applyProtection="1">
      <alignment vertical="center" wrapText="1"/>
      <protection locked="0" hidden="1"/>
    </xf>
    <xf numFmtId="0" fontId="20" fillId="0" borderId="11" xfId="0" applyFont="1" applyFill="1" applyBorder="1" applyAlignment="1" applyProtection="1">
      <alignment horizontal="center" vertical="center" wrapText="1"/>
      <protection hidden="1"/>
    </xf>
    <xf numFmtId="0" fontId="21" fillId="0" borderId="4" xfId="0" applyFont="1" applyBorder="1" applyAlignment="1" applyProtection="1">
      <alignment horizontal="center"/>
      <protection locked="0" hidden="1"/>
    </xf>
    <xf numFmtId="0" fontId="11" fillId="0" borderId="0" xfId="0" applyFont="1" applyProtection="1">
      <protection hidden="1"/>
    </xf>
    <xf numFmtId="0" fontId="21" fillId="0" borderId="4" xfId="0" applyFont="1" applyBorder="1" applyAlignment="1" applyProtection="1">
      <alignment vertical="center"/>
      <protection locked="0" hidden="1"/>
    </xf>
    <xf numFmtId="0" fontId="21" fillId="0" borderId="4" xfId="0" applyFont="1" applyBorder="1" applyAlignment="1" applyProtection="1">
      <alignment horizontal="center" vertical="center"/>
      <protection locked="0"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7" fillId="0" borderId="12" xfId="0" applyFont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20" fillId="0" borderId="15" xfId="0" applyFont="1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vertical="center" wrapText="1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12" fillId="0" borderId="17" xfId="0" applyFont="1" applyBorder="1" applyAlignment="1" applyProtection="1">
      <alignment horizontal="center" vertical="center" wrapText="1"/>
      <protection locked="0" hidden="1"/>
    </xf>
    <xf numFmtId="0" fontId="12" fillId="0" borderId="4" xfId="0" applyFont="1" applyBorder="1" applyAlignment="1" applyProtection="1">
      <alignment horizontal="center" vertical="center" wrapText="1"/>
      <protection locked="0" hidden="1"/>
    </xf>
    <xf numFmtId="0" fontId="12" fillId="0" borderId="20" xfId="0" applyFont="1" applyBorder="1" applyAlignment="1" applyProtection="1">
      <alignment horizontal="center" vertical="center" wrapText="1"/>
      <protection locked="0" hidden="1"/>
    </xf>
    <xf numFmtId="0" fontId="6" fillId="0" borderId="6" xfId="0" applyFont="1" applyBorder="1" applyAlignment="1" applyProtection="1">
      <alignment vertical="center" wrapText="1"/>
      <protection hidden="1"/>
    </xf>
    <xf numFmtId="0" fontId="6" fillId="2" borderId="6" xfId="0" applyFon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vertical="center" wrapText="1"/>
      <protection hidden="1"/>
    </xf>
    <xf numFmtId="0" fontId="6" fillId="0" borderId="11" xfId="0" applyFont="1" applyBorder="1" applyAlignment="1" applyProtection="1">
      <alignment vertical="center" wrapText="1"/>
      <protection hidden="1"/>
    </xf>
    <xf numFmtId="0" fontId="12" fillId="0" borderId="6" xfId="0" applyFont="1" applyFill="1" applyBorder="1" applyAlignment="1" applyProtection="1">
      <alignment vertical="center" wrapText="1"/>
      <protection locked="0" hidden="1"/>
    </xf>
    <xf numFmtId="0" fontId="12" fillId="0" borderId="6" xfId="0" applyFont="1" applyFill="1" applyBorder="1" applyAlignment="1" applyProtection="1">
      <alignment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12" fillId="0" borderId="5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12" fillId="0" borderId="6" xfId="0" applyFont="1" applyFill="1" applyBorder="1" applyAlignment="1" applyProtection="1">
      <alignment horizontal="center"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locked="0"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>
      <alignment horizontal="center" vertical="center"/>
    </xf>
    <xf numFmtId="0" fontId="22" fillId="5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12" fillId="0" borderId="6" xfId="0" applyFont="1" applyBorder="1" applyAlignment="1" applyProtection="1">
      <alignment vertical="center" wrapText="1"/>
      <protection locked="0" hidden="1"/>
    </xf>
    <xf numFmtId="0" fontId="12" fillId="0" borderId="7" xfId="0" applyFont="1" applyBorder="1" applyAlignment="1" applyProtection="1">
      <alignment vertical="center" wrapText="1"/>
      <protection locked="0"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0" fillId="0" borderId="13" xfId="0" applyFont="1" applyBorder="1" applyAlignment="1" applyProtection="1">
      <alignment horizontal="center" vertical="center"/>
      <protection hidden="1"/>
    </xf>
    <xf numFmtId="0" fontId="11" fillId="3" borderId="0" xfId="0" applyFont="1" applyFill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vertical="center" wrapText="1"/>
      <protection hidden="1"/>
    </xf>
    <xf numFmtId="0" fontId="6" fillId="0" borderId="7" xfId="0" applyFont="1" applyBorder="1" applyAlignment="1" applyProtection="1">
      <alignment vertical="center" wrapText="1"/>
      <protection hidden="1"/>
    </xf>
    <xf numFmtId="0" fontId="6" fillId="2" borderId="6" xfId="0" applyFont="1" applyFill="1" applyBorder="1" applyAlignment="1" applyProtection="1">
      <alignment vertical="center" wrapText="1"/>
      <protection hidden="1"/>
    </xf>
    <xf numFmtId="0" fontId="6" fillId="2" borderId="7" xfId="0" applyFont="1" applyFill="1" applyBorder="1" applyAlignment="1" applyProtection="1">
      <alignment vertical="center" wrapText="1"/>
      <protection hidden="1"/>
    </xf>
    <xf numFmtId="0" fontId="6" fillId="0" borderId="6" xfId="0" applyFont="1" applyFill="1" applyBorder="1" applyAlignment="1" applyProtection="1">
      <alignment vertical="center" wrapText="1"/>
      <protection locked="0" hidden="1"/>
    </xf>
    <xf numFmtId="0" fontId="11" fillId="0" borderId="7" xfId="0" applyFont="1" applyBorder="1" applyAlignment="1" applyProtection="1">
      <alignment vertical="center" wrapText="1"/>
      <protection locked="0" hidden="1"/>
    </xf>
    <xf numFmtId="0" fontId="12" fillId="0" borderId="6" xfId="0" applyFont="1" applyFill="1" applyBorder="1" applyAlignment="1" applyProtection="1">
      <alignment vertical="center" wrapText="1"/>
      <protection locked="0" hidden="1"/>
    </xf>
    <xf numFmtId="0" fontId="15" fillId="0" borderId="7" xfId="0" applyFont="1" applyBorder="1" applyAlignment="1" applyProtection="1">
      <alignment vertical="center" wrapText="1"/>
      <protection locked="0" hidden="1"/>
    </xf>
    <xf numFmtId="0" fontId="8" fillId="0" borderId="13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vertical="center" wrapText="1"/>
      <protection hidden="1"/>
    </xf>
    <xf numFmtId="0" fontId="6" fillId="0" borderId="8" xfId="0" applyFont="1" applyBorder="1" applyAlignment="1" applyProtection="1">
      <alignment vertical="center" wrapText="1"/>
      <protection hidden="1"/>
    </xf>
    <xf numFmtId="0" fontId="6" fillId="0" borderId="10" xfId="0" applyFont="1" applyBorder="1" applyAlignment="1" applyProtection="1">
      <alignment vertical="center" wrapText="1"/>
      <protection hidden="1"/>
    </xf>
    <xf numFmtId="0" fontId="6" fillId="0" borderId="11" xfId="0" applyFont="1" applyBorder="1" applyAlignment="1" applyProtection="1">
      <alignment vertical="center" wrapText="1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vertical="center" wrapText="1"/>
      <protection locked="0" hidden="1"/>
    </xf>
    <xf numFmtId="0" fontId="12" fillId="0" borderId="3" xfId="0" applyFont="1" applyBorder="1" applyAlignment="1" applyProtection="1">
      <alignment vertical="center" wrapText="1"/>
      <protection locked="0" hidden="1"/>
    </xf>
    <xf numFmtId="0" fontId="12" fillId="0" borderId="12" xfId="0" applyFont="1" applyBorder="1" applyAlignment="1" applyProtection="1">
      <alignment vertical="center" wrapText="1"/>
      <protection locked="0" hidden="1"/>
    </xf>
    <xf numFmtId="0" fontId="12" fillId="0" borderId="13" xfId="0" applyFont="1" applyBorder="1" applyAlignment="1" applyProtection="1">
      <alignment vertical="center" wrapText="1"/>
      <protection locked="0" hidden="1"/>
    </xf>
    <xf numFmtId="0" fontId="12" fillId="0" borderId="14" xfId="0" applyFont="1" applyBorder="1" applyAlignment="1" applyProtection="1">
      <alignment vertical="center" wrapText="1"/>
      <protection locked="0" hidden="1"/>
    </xf>
    <xf numFmtId="0" fontId="12" fillId="0" borderId="9" xfId="0" applyFont="1" applyBorder="1" applyAlignment="1" applyProtection="1">
      <alignment vertical="center" wrapText="1"/>
      <protection locked="0" hidden="1"/>
    </xf>
    <xf numFmtId="0" fontId="12" fillId="0" borderId="18" xfId="0" applyFont="1" applyBorder="1" applyAlignment="1" applyProtection="1">
      <alignment horizontal="center" vertical="center" wrapText="1"/>
      <protection locked="0" hidden="1"/>
    </xf>
    <xf numFmtId="0" fontId="12" fillId="0" borderId="19" xfId="0" applyFont="1" applyBorder="1" applyAlignment="1" applyProtection="1">
      <alignment horizontal="center" vertical="center" wrapText="1"/>
      <protection locked="0" hidden="1"/>
    </xf>
    <xf numFmtId="0" fontId="12" fillId="0" borderId="17" xfId="0" applyFont="1" applyBorder="1" applyAlignment="1" applyProtection="1">
      <alignment horizontal="center" vertical="center" wrapText="1"/>
      <protection locked="0" hidden="1"/>
    </xf>
    <xf numFmtId="0" fontId="12" fillId="0" borderId="4" xfId="0" applyFont="1" applyBorder="1" applyAlignment="1" applyProtection="1">
      <alignment horizontal="center" vertical="center" wrapText="1"/>
      <protection locked="0" hidden="1"/>
    </xf>
    <xf numFmtId="0" fontId="12" fillId="0" borderId="20" xfId="0" applyFont="1" applyBorder="1" applyAlignment="1" applyProtection="1">
      <alignment horizontal="center" vertical="center" wrapText="1"/>
      <protection locked="0" hidden="1"/>
    </xf>
    <xf numFmtId="0" fontId="12" fillId="0" borderId="4" xfId="0" applyFont="1" applyBorder="1" applyAlignment="1" applyProtection="1">
      <alignment vertical="center" wrapText="1"/>
      <protection locked="0" hidden="1"/>
    </xf>
    <xf numFmtId="0" fontId="15" fillId="0" borderId="4" xfId="0" applyFont="1" applyBorder="1" applyAlignment="1" applyProtection="1">
      <alignment vertical="center" wrapText="1"/>
      <protection locked="0" hidden="1"/>
    </xf>
    <xf numFmtId="0" fontId="6" fillId="2" borderId="6" xfId="0" applyFont="1" applyFill="1" applyBorder="1" applyAlignment="1" applyProtection="1">
      <alignment horizontal="right" vertical="center" wrapText="1"/>
      <protection hidden="1"/>
    </xf>
    <xf numFmtId="0" fontId="6" fillId="2" borderId="5" xfId="0" applyFont="1" applyFill="1" applyBorder="1" applyAlignment="1" applyProtection="1">
      <alignment horizontal="right" vertical="center" wrapText="1"/>
      <protection hidden="1"/>
    </xf>
    <xf numFmtId="0" fontId="6" fillId="2" borderId="7" xfId="0" applyFont="1" applyFill="1" applyBorder="1" applyAlignment="1" applyProtection="1">
      <alignment horizontal="right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horizontal="right" vertical="center"/>
      <protection hidden="1"/>
    </xf>
    <xf numFmtId="0" fontId="11" fillId="0" borderId="2" xfId="0" applyFont="1" applyBorder="1" applyAlignment="1" applyProtection="1">
      <alignment horizontal="right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 wrapText="1"/>
      <protection hidden="1"/>
    </xf>
    <xf numFmtId="0" fontId="11" fillId="4" borderId="7" xfId="0" applyFont="1" applyFill="1" applyBorder="1" applyAlignment="1" applyProtection="1">
      <alignment vertical="center"/>
      <protection hidden="1"/>
    </xf>
    <xf numFmtId="0" fontId="13" fillId="4" borderId="6" xfId="0" applyFont="1" applyFill="1" applyBorder="1" applyAlignment="1" applyProtection="1">
      <alignment horizontal="center" vertical="center"/>
      <protection hidden="1"/>
    </xf>
    <xf numFmtId="0" fontId="13" fillId="4" borderId="7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left" vertical="center" wrapText="1"/>
      <protection hidden="1"/>
    </xf>
    <xf numFmtId="0" fontId="0" fillId="0" borderId="11" xfId="0" applyBorder="1" applyAlignment="1" applyProtection="1">
      <alignment vertical="center" wrapText="1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3"/>
  <sheetViews>
    <sheetView tabSelected="1" workbookViewId="0"/>
  </sheetViews>
  <sheetFormatPr baseColWidth="10" defaultRowHeight="15.95" customHeight="1"/>
  <cols>
    <col min="1" max="1" width="46.42578125" style="8" customWidth="1"/>
    <col min="2" max="2" width="20.5703125" style="8" customWidth="1"/>
    <col min="3" max="10" width="8.7109375" style="8" customWidth="1"/>
    <col min="11" max="16" width="8.7109375" style="8" hidden="1" customWidth="1"/>
    <col min="17" max="17" width="23" style="6" customWidth="1"/>
    <col min="18" max="18" width="23.140625" style="6" customWidth="1"/>
    <col min="19" max="19" width="16" style="6" hidden="1" customWidth="1"/>
    <col min="20" max="21" width="10.42578125" style="7" hidden="1" customWidth="1"/>
    <col min="22" max="22" width="8.5703125" style="7" hidden="1" customWidth="1"/>
    <col min="23" max="23" width="12.140625" style="7" hidden="1" customWidth="1"/>
    <col min="24" max="24" width="11.42578125" style="7" hidden="1" customWidth="1"/>
    <col min="25" max="25" width="7.28515625" style="7" hidden="1" customWidth="1"/>
    <col min="26" max="26" width="9.28515625" style="7" hidden="1" customWidth="1"/>
    <col min="27" max="27" width="19.28515625" style="7" hidden="1" customWidth="1"/>
    <col min="28" max="30" width="11.42578125" style="8" hidden="1" customWidth="1"/>
    <col min="31" max="31" width="3.85546875" style="8" hidden="1" customWidth="1"/>
    <col min="32" max="32" width="3.42578125" style="8" hidden="1" customWidth="1"/>
    <col min="33" max="33" width="11.42578125" style="8" hidden="1" customWidth="1"/>
    <col min="34" max="16384" width="11.42578125" style="8"/>
  </cols>
  <sheetData>
    <row r="1" spans="1:33" ht="15.95" customHeight="1" thickBot="1">
      <c r="A1" s="1" t="s">
        <v>82</v>
      </c>
      <c r="B1" s="2"/>
      <c r="C1" s="139" t="s">
        <v>87</v>
      </c>
      <c r="D1" s="139"/>
      <c r="E1" s="139"/>
      <c r="F1" s="139"/>
      <c r="G1" s="139"/>
      <c r="H1" s="139"/>
      <c r="I1" s="140"/>
      <c r="J1" s="2"/>
      <c r="K1" s="2"/>
      <c r="L1" s="2"/>
      <c r="M1" s="2"/>
      <c r="N1" s="2"/>
      <c r="O1" s="2"/>
      <c r="P1" s="2"/>
      <c r="Q1" s="4"/>
      <c r="R1" s="5"/>
    </row>
    <row r="2" spans="1:33" ht="15.95" customHeight="1" thickBot="1">
      <c r="A2" s="9"/>
      <c r="B2" s="10"/>
      <c r="C2" s="10"/>
      <c r="D2" s="10"/>
      <c r="E2" s="10"/>
      <c r="F2" s="10"/>
      <c r="G2" s="10"/>
      <c r="H2" s="10"/>
      <c r="Q2" s="143" t="str">
        <f>IF(I38="Fehler vorhanden","Fehlermeldungen","")</f>
        <v>Fehlermeldungen</v>
      </c>
      <c r="R2" s="144"/>
    </row>
    <row r="3" spans="1:33" s="23" customFormat="1" ht="15.95" customHeight="1" thickBot="1">
      <c r="A3" s="11" t="s">
        <v>3</v>
      </c>
      <c r="B3" s="12"/>
      <c r="C3" s="11" t="s">
        <v>4</v>
      </c>
      <c r="D3" s="13" t="s">
        <v>5</v>
      </c>
      <c r="E3" s="14" t="s">
        <v>59</v>
      </c>
      <c r="F3" s="11" t="s">
        <v>60</v>
      </c>
      <c r="G3" s="11" t="s">
        <v>61</v>
      </c>
      <c r="H3" s="135" t="s">
        <v>61</v>
      </c>
      <c r="I3" s="14" t="s">
        <v>0</v>
      </c>
      <c r="J3" s="11" t="s">
        <v>62</v>
      </c>
      <c r="K3" s="15" t="s">
        <v>75</v>
      </c>
      <c r="L3" s="15" t="s">
        <v>77</v>
      </c>
      <c r="M3" s="16" t="s">
        <v>1</v>
      </c>
      <c r="N3" s="16" t="s">
        <v>2</v>
      </c>
      <c r="O3" s="145" t="s">
        <v>80</v>
      </c>
      <c r="P3" s="145"/>
      <c r="Q3" s="17"/>
      <c r="R3" s="18" t="str">
        <f>IF(COUNTIF(C4:C6,"EN")&lt;2,"mind. 2x EN wählen!","")</f>
        <v>mind. 2x EN wählen!</v>
      </c>
      <c r="S3" s="19" t="s">
        <v>83</v>
      </c>
      <c r="T3" s="20" t="s">
        <v>20</v>
      </c>
      <c r="U3" s="7" t="s">
        <v>23</v>
      </c>
      <c r="V3" s="7" t="s">
        <v>25</v>
      </c>
      <c r="W3" s="20" t="s">
        <v>20</v>
      </c>
      <c r="X3" s="7" t="s">
        <v>30</v>
      </c>
      <c r="Y3" s="7" t="s">
        <v>33</v>
      </c>
      <c r="Z3" s="7" t="s">
        <v>35</v>
      </c>
      <c r="AA3" s="7" t="s">
        <v>32</v>
      </c>
      <c r="AB3" s="21" t="s">
        <v>9</v>
      </c>
      <c r="AC3" s="7" t="s">
        <v>39</v>
      </c>
      <c r="AD3" s="22" t="s">
        <v>9</v>
      </c>
      <c r="AE3" s="7" t="s">
        <v>64</v>
      </c>
      <c r="AF3" s="23">
        <v>1</v>
      </c>
      <c r="AG3" s="24" t="s">
        <v>6</v>
      </c>
    </row>
    <row r="4" spans="1:33" s="23" customFormat="1" ht="15.95" customHeight="1" thickBot="1">
      <c r="A4" s="156" t="s">
        <v>81</v>
      </c>
      <c r="B4" s="25" t="s">
        <v>6</v>
      </c>
      <c r="C4" s="26" t="s">
        <v>66</v>
      </c>
      <c r="D4" s="27">
        <v>4</v>
      </c>
      <c r="E4" s="28"/>
      <c r="F4" s="29"/>
      <c r="G4" s="29"/>
      <c r="H4" s="30"/>
      <c r="I4" s="31">
        <f>SUM(E4:H4)</f>
        <v>0</v>
      </c>
      <c r="J4" s="29">
        <f>IF(AND(C4="EN",OR(B4=B$35,B4=B$36,B4=B$37)),2,1)</f>
        <v>1</v>
      </c>
      <c r="K4" s="32">
        <f>IF(OR(J4=1,J4=2),I4*J4,"")</f>
        <v>0</v>
      </c>
      <c r="L4" s="32">
        <f>COUNT(E4:H4)*J4</f>
        <v>0</v>
      </c>
      <c r="M4" s="33">
        <v>300</v>
      </c>
      <c r="N4" s="34">
        <v>4</v>
      </c>
      <c r="O4" s="33" t="str">
        <f t="shared" ref="O4:O32" si="0">IF(P5&lt;&gt;"","",IF($F$38&gt;=M4,N4,""))</f>
        <v/>
      </c>
      <c r="P4" s="33" t="str">
        <f t="shared" ref="P4:P32" si="1">O4&amp;""&amp;P5</f>
        <v/>
      </c>
      <c r="Q4" s="17" t="str">
        <f>IF(COUNTBLANK(E4:H4)&gt;0,"Alle 4 Noten eintragen!",IF(COUNTIF(E4:H4,0)&gt;0,"0 Punkte  =&gt; nicht best.!",""))</f>
        <v>Alle 4 Noten eintragen!</v>
      </c>
      <c r="R4" s="18" t="str">
        <f>IF(C4="Niveau?","Niveau wählen!","")</f>
        <v>Niveau wählen!</v>
      </c>
      <c r="S4" s="35" t="str">
        <f>IF(J4=2,IF(AND(OR(B4=B$35,B4=B$36,B4=B$37),C4="EN"),"ja","nein"),"")</f>
        <v/>
      </c>
      <c r="T4" s="7" t="s">
        <v>21</v>
      </c>
      <c r="U4" s="7" t="s">
        <v>24</v>
      </c>
      <c r="V4" s="7" t="s">
        <v>26</v>
      </c>
      <c r="W4" s="7" t="s">
        <v>21</v>
      </c>
      <c r="X4" s="7" t="s">
        <v>31</v>
      </c>
      <c r="Y4" s="7" t="s">
        <v>49</v>
      </c>
      <c r="Z4" s="7" t="s">
        <v>36</v>
      </c>
      <c r="AA4" s="7" t="s">
        <v>38</v>
      </c>
      <c r="AB4" s="7" t="s">
        <v>41</v>
      </c>
      <c r="AC4" s="7" t="s">
        <v>42</v>
      </c>
      <c r="AD4" s="22" t="s">
        <v>11</v>
      </c>
      <c r="AE4" s="7" t="s">
        <v>65</v>
      </c>
      <c r="AF4" s="23">
        <v>2</v>
      </c>
      <c r="AG4" s="7" t="s">
        <v>7</v>
      </c>
    </row>
    <row r="5" spans="1:33" s="23" customFormat="1" ht="15.95" customHeight="1" thickBot="1">
      <c r="A5" s="157"/>
      <c r="B5" s="36" t="s">
        <v>84</v>
      </c>
      <c r="C5" s="26" t="s">
        <v>66</v>
      </c>
      <c r="D5" s="27">
        <v>4</v>
      </c>
      <c r="E5" s="28"/>
      <c r="F5" s="29"/>
      <c r="G5" s="29"/>
      <c r="H5" s="30"/>
      <c r="I5" s="31">
        <f>SUM(E5:H5)</f>
        <v>0</v>
      </c>
      <c r="J5" s="29">
        <f>IF(AND(C5="EN",OR(B5=B$35,B5=B$36,B5=B$37)),2,1)</f>
        <v>1</v>
      </c>
      <c r="K5" s="32">
        <f>IF(OR(J5=1,J5=2),I5*J5,"")</f>
        <v>0</v>
      </c>
      <c r="L5" s="32">
        <f>COUNT(E5:H5)*J5</f>
        <v>0</v>
      </c>
      <c r="M5" s="33">
        <v>301</v>
      </c>
      <c r="N5" s="37">
        <v>3.9</v>
      </c>
      <c r="O5" s="33" t="str">
        <f t="shared" si="0"/>
        <v/>
      </c>
      <c r="P5" s="33" t="str">
        <f t="shared" si="1"/>
        <v/>
      </c>
      <c r="Q5" s="17" t="str">
        <f>IF(COUNTBLANK(E5:H5)&gt;0,"Alle 4 Noten eintragen!",IF(COUNTIF(E5:H5,0)&gt;0,"0 Punkte  =&gt; nicht best.!",""))</f>
        <v>Alle 4 Noten eintragen!</v>
      </c>
      <c r="R5" s="18" t="str">
        <f>IF(C5="Niveau?","Niveau wählen!","")</f>
        <v>Niveau wählen!</v>
      </c>
      <c r="S5" s="35" t="str">
        <f t="shared" ref="S5:S6" si="2">IF(J5=2,IF(AND(OR(B5=B$35,B5=B$36,B5=B$37),C5="EN"),"ja","nein"),"")</f>
        <v/>
      </c>
      <c r="T5" s="24" t="s">
        <v>28</v>
      </c>
      <c r="U5" s="7"/>
      <c r="V5" s="7" t="s">
        <v>27</v>
      </c>
      <c r="W5" s="24" t="s">
        <v>28</v>
      </c>
      <c r="X5" s="7" t="s">
        <v>32</v>
      </c>
      <c r="Y5" s="7" t="s">
        <v>34</v>
      </c>
      <c r="Z5" s="7" t="s">
        <v>37</v>
      </c>
      <c r="AA5" s="7" t="s">
        <v>42</v>
      </c>
      <c r="AB5" s="7" t="s">
        <v>42</v>
      </c>
      <c r="AD5" s="22" t="s">
        <v>42</v>
      </c>
      <c r="AG5" s="20" t="s">
        <v>20</v>
      </c>
    </row>
    <row r="6" spans="1:33" s="23" customFormat="1" ht="15.95" customHeight="1" thickBot="1">
      <c r="A6" s="158"/>
      <c r="B6" s="25" t="s">
        <v>7</v>
      </c>
      <c r="C6" s="26" t="s">
        <v>66</v>
      </c>
      <c r="D6" s="27">
        <v>4</v>
      </c>
      <c r="E6" s="28"/>
      <c r="F6" s="29"/>
      <c r="G6" s="29"/>
      <c r="H6" s="30"/>
      <c r="I6" s="31">
        <f>SUM(E6:H6)</f>
        <v>0</v>
      </c>
      <c r="J6" s="29">
        <f>IF(AND(C6="EN",OR(B6=B$35,B6=B$36,B6=B$37)),2,1)</f>
        <v>1</v>
      </c>
      <c r="K6" s="32">
        <f>IF(OR(J6=1,J6=2),I6*J6,"")</f>
        <v>0</v>
      </c>
      <c r="L6" s="32">
        <f>COUNT(E6:H6)*J6</f>
        <v>0</v>
      </c>
      <c r="M6" s="33">
        <v>319</v>
      </c>
      <c r="N6" s="37">
        <v>3.8</v>
      </c>
      <c r="O6" s="33" t="str">
        <f t="shared" si="0"/>
        <v/>
      </c>
      <c r="P6" s="33" t="str">
        <f t="shared" si="1"/>
        <v/>
      </c>
      <c r="Q6" s="17" t="str">
        <f>IF(COUNTBLANK(E6:H6)&gt;0,"Alle 4 Noten eintragen!",IF(COUNTIF(E6:H6,0)&gt;0,"0 Punkte  =&gt; nicht best.!",""))</f>
        <v>Alle 4 Noten eintragen!</v>
      </c>
      <c r="R6" s="18" t="str">
        <f>IF(C6="Niveau?","Niveau wählen!","")</f>
        <v>Niveau wählen!</v>
      </c>
      <c r="S6" s="35" t="str">
        <f t="shared" si="2"/>
        <v/>
      </c>
      <c r="T6" s="7" t="s">
        <v>22</v>
      </c>
      <c r="U6" s="7"/>
      <c r="V6" s="7" t="s">
        <v>42</v>
      </c>
      <c r="W6" s="7" t="s">
        <v>22</v>
      </c>
      <c r="X6" s="7" t="s">
        <v>42</v>
      </c>
      <c r="Y6" s="7" t="s">
        <v>42</v>
      </c>
      <c r="Z6" s="7" t="s">
        <v>42</v>
      </c>
      <c r="AA6" s="7"/>
      <c r="AG6" s="7" t="s">
        <v>21</v>
      </c>
    </row>
    <row r="7" spans="1:33" s="23" customFormat="1" ht="15.95" customHeight="1" thickBot="1">
      <c r="A7" s="38" t="s">
        <v>8</v>
      </c>
      <c r="B7" s="148"/>
      <c r="C7" s="149"/>
      <c r="D7" s="40"/>
      <c r="E7" s="41"/>
      <c r="F7" s="42"/>
      <c r="G7" s="42"/>
      <c r="H7" s="43"/>
      <c r="I7" s="44"/>
      <c r="J7" s="42"/>
      <c r="K7" s="45"/>
      <c r="L7" s="45"/>
      <c r="M7" s="46">
        <v>337</v>
      </c>
      <c r="N7" s="47">
        <v>3.7</v>
      </c>
      <c r="O7" s="46" t="str">
        <f t="shared" si="0"/>
        <v/>
      </c>
      <c r="P7" s="46" t="str">
        <f t="shared" si="1"/>
        <v/>
      </c>
      <c r="Q7" s="137" t="str">
        <f>IF(COUNTIF(J4:J6,2)=0,"Faktor e. EN-Kern- u. schr. Pr.fachs muss 2 sein!",IF(AND(COUNTIF(J4:J6,2)=1,S7=1),"Faktor e. EN-Kern u. schr. Pr.fachs muss 2 sein!",IF(AND(COUNTIF(J4:J6,2)=2,S7=2),"Faktor e. EN-Kern u. schr. Pr.fachs muss 2 sein!",IF(AND(COUNTIF(J4:J6,2)=3,S7=3),"Faktor e. EN-Kern u. schr. Pr.fachs muss 2 sein!",""))))</f>
        <v>Faktor e. EN-Kern- u. schr. Pr.fachs muss 2 sein!</v>
      </c>
      <c r="R7" s="159"/>
      <c r="S7" s="49">
        <f>COUNTIF(S4:S6,"nein")</f>
        <v>0</v>
      </c>
      <c r="T7" s="24"/>
      <c r="U7" s="7"/>
      <c r="V7" s="7"/>
      <c r="W7" s="7" t="s">
        <v>29</v>
      </c>
      <c r="X7" s="7"/>
      <c r="Y7" s="7"/>
      <c r="Z7" s="7"/>
      <c r="AA7" s="7"/>
      <c r="AG7" s="24" t="s">
        <v>28</v>
      </c>
    </row>
    <row r="8" spans="1:33" s="23" customFormat="1" ht="15.95" customHeight="1" thickBot="1">
      <c r="A8" s="50" t="s">
        <v>44</v>
      </c>
      <c r="B8" s="51" t="s">
        <v>9</v>
      </c>
      <c r="C8" s="52" t="s">
        <v>64</v>
      </c>
      <c r="D8" s="27">
        <v>4</v>
      </c>
      <c r="E8" s="28"/>
      <c r="F8" s="29"/>
      <c r="G8" s="29"/>
      <c r="H8" s="30"/>
      <c r="I8" s="31">
        <f>SUM(E8:H8)</f>
        <v>0</v>
      </c>
      <c r="J8" s="52">
        <v>2</v>
      </c>
      <c r="K8" s="45">
        <f>IF(OR(J8=1,J8=2),I8*J8,"")</f>
        <v>0</v>
      </c>
      <c r="L8" s="45">
        <f>COUNT(E8:H8)*J8</f>
        <v>0</v>
      </c>
      <c r="M8" s="46">
        <v>355</v>
      </c>
      <c r="N8" s="47">
        <v>3.6</v>
      </c>
      <c r="O8" s="46" t="str">
        <f t="shared" si="0"/>
        <v/>
      </c>
      <c r="P8" s="46" t="str">
        <f t="shared" si="1"/>
        <v/>
      </c>
      <c r="Q8" s="48" t="str">
        <f>IF(COUNTBLANK(E8:H8)&gt;0,"Alle 4 Noten eintragen!","")</f>
        <v>Alle 4 Noten eintragen!</v>
      </c>
      <c r="R8" s="18" t="str">
        <f>IF(OR(B8=B$36,B8=B$37,B8=B$38),IF(COUNTIF(E8:H8,0)&gt;0,"0 Punkte  =&gt; nicht best.!",""),"")</f>
        <v/>
      </c>
      <c r="S8" s="49"/>
      <c r="T8" s="24"/>
      <c r="U8" s="7"/>
      <c r="V8" s="7"/>
      <c r="W8" s="7" t="s">
        <v>30</v>
      </c>
      <c r="X8" s="7"/>
      <c r="Y8" s="7"/>
      <c r="Z8" s="7"/>
      <c r="AA8" s="7"/>
      <c r="AG8" s="7" t="s">
        <v>22</v>
      </c>
    </row>
    <row r="9" spans="1:33" s="23" customFormat="1" ht="15.95" customHeight="1" thickBot="1">
      <c r="A9" s="50" t="s">
        <v>45</v>
      </c>
      <c r="B9" s="146" t="s">
        <v>10</v>
      </c>
      <c r="C9" s="147"/>
      <c r="D9" s="27">
        <v>2</v>
      </c>
      <c r="E9" s="28"/>
      <c r="F9" s="29"/>
      <c r="G9" s="29"/>
      <c r="H9" s="30"/>
      <c r="I9" s="31">
        <f>SUM(E9:H9)</f>
        <v>0</v>
      </c>
      <c r="J9" s="52">
        <f>IF(OR(D9=2,D9=4),1,"")</f>
        <v>1</v>
      </c>
      <c r="K9" s="45">
        <f>IF(OR(J9=1,J9=2),I9*J9,"")</f>
        <v>0</v>
      </c>
      <c r="L9" s="45">
        <f>COUNT(E9:H9)*J9</f>
        <v>0</v>
      </c>
      <c r="M9" s="46">
        <v>373</v>
      </c>
      <c r="N9" s="47">
        <v>3.5</v>
      </c>
      <c r="O9" s="46" t="str">
        <f t="shared" si="0"/>
        <v/>
      </c>
      <c r="P9" s="46" t="str">
        <f t="shared" si="1"/>
        <v/>
      </c>
      <c r="Q9" s="17" t="str">
        <f t="shared" ref="Q9:Q28" si="3">IF(OR(B9=B$36,B9=B$37,B9=B$38),IF(COUNTBLANK(E9:H9)&gt;0,"Alle 4 Noten eintragen!",""),"")</f>
        <v/>
      </c>
      <c r="R9" s="18" t="str">
        <f t="shared" ref="R9:R18" si="4">IF(OR(B9=B$36,B9=B$37,B9=B$38),IF(COUNTIF(E9:H9,0)&gt;0,"0 Punkte  =&gt; nicht best.!",""),"")</f>
        <v/>
      </c>
      <c r="S9" s="49"/>
      <c r="T9" s="24" t="s">
        <v>6</v>
      </c>
      <c r="U9" s="7"/>
      <c r="V9" s="7"/>
      <c r="W9" s="7" t="s">
        <v>31</v>
      </c>
      <c r="X9" s="7"/>
      <c r="Y9" s="7"/>
      <c r="Z9" s="7"/>
      <c r="AA9" s="7"/>
      <c r="AG9" s="7" t="s">
        <v>25</v>
      </c>
    </row>
    <row r="10" spans="1:33" s="23" customFormat="1" ht="15.95" customHeight="1" thickBot="1">
      <c r="A10" s="50" t="s">
        <v>45</v>
      </c>
      <c r="B10" s="146" t="s">
        <v>11</v>
      </c>
      <c r="C10" s="147"/>
      <c r="D10" s="27">
        <v>2</v>
      </c>
      <c r="E10" s="28"/>
      <c r="F10" s="29"/>
      <c r="G10" s="29"/>
      <c r="H10" s="30"/>
      <c r="I10" s="31">
        <f>IF(D10="","",SUM(E10:H10))</f>
        <v>0</v>
      </c>
      <c r="J10" s="52">
        <f>IF(D10=2,1,"")</f>
        <v>1</v>
      </c>
      <c r="K10" s="45">
        <f>IF(OR(J10=1,J10=2),I10*J10,"")</f>
        <v>0</v>
      </c>
      <c r="L10" s="45">
        <f>COUNT(E10:H10)*J10</f>
        <v>0</v>
      </c>
      <c r="M10" s="46">
        <v>391</v>
      </c>
      <c r="N10" s="47">
        <v>3.4</v>
      </c>
      <c r="O10" s="46" t="str">
        <f t="shared" si="0"/>
        <v/>
      </c>
      <c r="P10" s="46" t="str">
        <f t="shared" si="1"/>
        <v/>
      </c>
      <c r="Q10" s="17" t="str">
        <f t="shared" si="3"/>
        <v/>
      </c>
      <c r="R10" s="18" t="str">
        <f t="shared" si="4"/>
        <v/>
      </c>
      <c r="S10" s="49"/>
      <c r="T10" s="7" t="s">
        <v>7</v>
      </c>
      <c r="U10" s="7"/>
      <c r="V10" s="7"/>
      <c r="W10" s="7" t="s">
        <v>32</v>
      </c>
      <c r="X10" s="7"/>
      <c r="Y10" s="7"/>
      <c r="Z10" s="7"/>
      <c r="AA10" s="7"/>
      <c r="AG10" s="7" t="s">
        <v>26</v>
      </c>
    </row>
    <row r="11" spans="1:33" s="23" customFormat="1" ht="15.95" customHeight="1" thickBot="1">
      <c r="A11" s="50" t="s">
        <v>12</v>
      </c>
      <c r="B11" s="146" t="s">
        <v>12</v>
      </c>
      <c r="C11" s="147"/>
      <c r="D11" s="27">
        <v>2</v>
      </c>
      <c r="E11" s="28"/>
      <c r="F11" s="29"/>
      <c r="G11" s="29"/>
      <c r="H11" s="30"/>
      <c r="I11" s="31">
        <f>IF(D11="","",SUM(E11:H11))</f>
        <v>0</v>
      </c>
      <c r="J11" s="52">
        <f>IF(D11=2,1,"")</f>
        <v>1</v>
      </c>
      <c r="K11" s="45">
        <f>IF(OR(J11=1,J11=2),I11*J11,"")</f>
        <v>0</v>
      </c>
      <c r="L11" s="45">
        <f>COUNT(E11:H11)*J11</f>
        <v>0</v>
      </c>
      <c r="M11" s="46">
        <v>409</v>
      </c>
      <c r="N11" s="47">
        <v>3.3</v>
      </c>
      <c r="O11" s="46" t="str">
        <f t="shared" si="0"/>
        <v/>
      </c>
      <c r="P11" s="46" t="str">
        <f t="shared" si="1"/>
        <v/>
      </c>
      <c r="Q11" s="17" t="str">
        <f t="shared" si="3"/>
        <v/>
      </c>
      <c r="R11" s="18" t="str">
        <f t="shared" si="4"/>
        <v/>
      </c>
      <c r="S11" s="49"/>
      <c r="T11" s="20" t="s">
        <v>20</v>
      </c>
      <c r="U11" s="7"/>
      <c r="V11" s="7"/>
      <c r="W11" s="7" t="s">
        <v>42</v>
      </c>
      <c r="X11" s="7"/>
      <c r="Y11" s="7"/>
      <c r="Z11" s="7"/>
      <c r="AA11" s="7"/>
      <c r="AG11" s="7" t="s">
        <v>27</v>
      </c>
    </row>
    <row r="12" spans="1:33" s="23" customFormat="1" ht="15.95" customHeight="1" thickBot="1">
      <c r="A12" s="38" t="s">
        <v>13</v>
      </c>
      <c r="B12" s="148"/>
      <c r="C12" s="149"/>
      <c r="D12" s="40"/>
      <c r="E12" s="41"/>
      <c r="F12" s="42"/>
      <c r="G12" s="42"/>
      <c r="H12" s="43"/>
      <c r="I12" s="44"/>
      <c r="J12" s="42"/>
      <c r="K12" s="45"/>
      <c r="L12" s="45"/>
      <c r="M12" s="46">
        <v>427</v>
      </c>
      <c r="N12" s="47">
        <v>3.2</v>
      </c>
      <c r="O12" s="46" t="str">
        <f t="shared" si="0"/>
        <v/>
      </c>
      <c r="P12" s="46" t="str">
        <f t="shared" si="1"/>
        <v/>
      </c>
      <c r="Q12" s="137"/>
      <c r="R12" s="154"/>
      <c r="S12" s="49"/>
      <c r="T12" s="7" t="s">
        <v>21</v>
      </c>
      <c r="U12" s="7"/>
      <c r="V12" s="7"/>
      <c r="W12" s="7"/>
      <c r="X12" s="7"/>
      <c r="Y12" s="7"/>
      <c r="Z12" s="7"/>
      <c r="AA12" s="7"/>
      <c r="AG12" s="21" t="s">
        <v>9</v>
      </c>
    </row>
    <row r="13" spans="1:33" s="60" customFormat="1" ht="15.95" hidden="1" customHeight="1" thickBot="1">
      <c r="A13" s="54"/>
      <c r="B13" s="150"/>
      <c r="C13" s="151"/>
      <c r="D13" s="55"/>
      <c r="E13" s="56"/>
      <c r="F13" s="57"/>
      <c r="G13" s="57"/>
      <c r="H13" s="58"/>
      <c r="I13" s="31"/>
      <c r="J13" s="52"/>
      <c r="K13" s="45"/>
      <c r="L13" s="45"/>
      <c r="M13" s="46"/>
      <c r="N13" s="47"/>
      <c r="O13" s="46"/>
      <c r="P13" s="46"/>
      <c r="Q13" s="17"/>
      <c r="R13" s="18"/>
      <c r="S13" s="59"/>
      <c r="T13" s="24" t="s">
        <v>28</v>
      </c>
      <c r="U13" s="7"/>
      <c r="V13" s="7"/>
      <c r="W13" s="7"/>
      <c r="X13" s="7"/>
      <c r="Y13" s="7"/>
      <c r="Z13" s="7"/>
      <c r="AA13" s="7"/>
      <c r="AG13" s="7" t="s">
        <v>41</v>
      </c>
    </row>
    <row r="14" spans="1:33" s="60" customFormat="1" ht="15.95" hidden="1" customHeight="1" thickBot="1">
      <c r="A14" s="61"/>
      <c r="B14" s="152"/>
      <c r="C14" s="153"/>
      <c r="D14" s="63"/>
      <c r="E14" s="56"/>
      <c r="F14" s="57"/>
      <c r="G14" s="57"/>
      <c r="H14" s="58"/>
      <c r="I14" s="31"/>
      <c r="J14" s="52"/>
      <c r="K14" s="45"/>
      <c r="L14" s="45"/>
      <c r="M14" s="46"/>
      <c r="N14" s="64"/>
      <c r="O14" s="46"/>
      <c r="P14" s="46"/>
      <c r="Q14" s="17"/>
      <c r="R14" s="18"/>
      <c r="S14" s="59"/>
      <c r="T14" s="7" t="s">
        <v>22</v>
      </c>
      <c r="U14" s="7"/>
      <c r="V14" s="7"/>
      <c r="W14" s="7"/>
      <c r="X14" s="7"/>
      <c r="Y14" s="7"/>
      <c r="Z14" s="7"/>
      <c r="AA14" s="7"/>
      <c r="AG14" s="22" t="s">
        <v>11</v>
      </c>
    </row>
    <row r="15" spans="1:33" s="23" customFormat="1" ht="15.95" customHeight="1" thickBot="1">
      <c r="A15" s="50" t="s">
        <v>47</v>
      </c>
      <c r="B15" s="141" t="s">
        <v>40</v>
      </c>
      <c r="C15" s="142"/>
      <c r="D15" s="27">
        <v>4</v>
      </c>
      <c r="E15" s="28"/>
      <c r="F15" s="29"/>
      <c r="G15" s="29"/>
      <c r="H15" s="30"/>
      <c r="I15" s="31">
        <f t="shared" ref="I15:I18" si="5">IF(D15="","",SUM(E15:H15))</f>
        <v>0</v>
      </c>
      <c r="J15" s="29">
        <f>IF(D15=4,1,"")</f>
        <v>1</v>
      </c>
      <c r="K15" s="45">
        <f t="shared" ref="K15:K18" si="6">IF(OR(J15=1,J15=2),I15*J15,"")</f>
        <v>0</v>
      </c>
      <c r="L15" s="45" t="str">
        <f t="shared" ref="L15:L18" si="7">IF(COUNT(E15:H15)=0,"",COUNT(E15:H15)*J15)</f>
        <v/>
      </c>
      <c r="M15" s="46">
        <v>481</v>
      </c>
      <c r="N15" s="47">
        <v>2.9</v>
      </c>
      <c r="O15" s="46" t="str">
        <f t="shared" si="0"/>
        <v/>
      </c>
      <c r="P15" s="46" t="str">
        <f t="shared" si="1"/>
        <v/>
      </c>
      <c r="Q15" s="17" t="str">
        <f>IF(COUNTBLANK(E15:H15)&gt;0,"Alle 4 Noten eintragen!","")</f>
        <v>Alle 4 Noten eintragen!</v>
      </c>
      <c r="R15" s="18" t="str">
        <f t="shared" si="4"/>
        <v/>
      </c>
      <c r="S15" s="49"/>
      <c r="U15" s="7"/>
      <c r="V15" s="7"/>
      <c r="W15" s="7"/>
      <c r="X15" s="7"/>
      <c r="Y15" s="7"/>
      <c r="Z15" s="7"/>
      <c r="AA15" s="7"/>
      <c r="AG15" s="7" t="s">
        <v>23</v>
      </c>
    </row>
    <row r="16" spans="1:33" s="23" customFormat="1" ht="15.95" customHeight="1" thickBot="1">
      <c r="A16" s="50" t="s">
        <v>48</v>
      </c>
      <c r="B16" s="141" t="s">
        <v>40</v>
      </c>
      <c r="C16" s="142"/>
      <c r="D16" s="27">
        <v>2</v>
      </c>
      <c r="E16" s="28"/>
      <c r="F16" s="29"/>
      <c r="G16" s="29"/>
      <c r="H16" s="30"/>
      <c r="I16" s="31">
        <f t="shared" si="5"/>
        <v>0</v>
      </c>
      <c r="J16" s="52">
        <f>IF(D16=2,1,"")</f>
        <v>1</v>
      </c>
      <c r="K16" s="45">
        <f t="shared" si="6"/>
        <v>0</v>
      </c>
      <c r="L16" s="45" t="str">
        <f t="shared" si="7"/>
        <v/>
      </c>
      <c r="M16" s="46">
        <v>499</v>
      </c>
      <c r="N16" s="47">
        <v>2.8</v>
      </c>
      <c r="O16" s="46" t="str">
        <f t="shared" si="0"/>
        <v/>
      </c>
      <c r="P16" s="46" t="str">
        <f t="shared" si="1"/>
        <v/>
      </c>
      <c r="Q16" s="17" t="str">
        <f t="shared" si="3"/>
        <v/>
      </c>
      <c r="R16" s="18" t="str">
        <f t="shared" si="4"/>
        <v/>
      </c>
      <c r="S16" s="49"/>
      <c r="T16" s="7"/>
      <c r="U16" s="7"/>
      <c r="V16" s="7"/>
      <c r="W16" s="7"/>
      <c r="X16" s="7"/>
      <c r="Y16" s="7"/>
      <c r="Z16" s="7"/>
      <c r="AA16" s="7"/>
      <c r="AG16" s="7" t="s">
        <v>24</v>
      </c>
    </row>
    <row r="17" spans="1:33" s="23" customFormat="1" ht="15.95" hidden="1" customHeight="1" thickBot="1">
      <c r="A17" s="50"/>
      <c r="B17" s="141"/>
      <c r="C17" s="142"/>
      <c r="D17" s="27"/>
      <c r="E17" s="28"/>
      <c r="F17" s="29"/>
      <c r="G17" s="29"/>
      <c r="H17" s="30"/>
      <c r="I17" s="31"/>
      <c r="J17" s="52"/>
      <c r="K17" s="45"/>
      <c r="L17" s="45"/>
      <c r="M17" s="46"/>
      <c r="N17" s="47"/>
      <c r="O17" s="46"/>
      <c r="P17" s="46"/>
      <c r="Q17" s="17"/>
      <c r="R17" s="18"/>
      <c r="S17" s="49"/>
      <c r="U17" s="7"/>
      <c r="V17" s="7"/>
      <c r="W17" s="7"/>
      <c r="X17" s="7"/>
      <c r="Y17" s="7"/>
      <c r="Z17" s="7"/>
      <c r="AA17" s="7"/>
      <c r="AG17" s="7" t="s">
        <v>33</v>
      </c>
    </row>
    <row r="18" spans="1:33" s="23" customFormat="1" ht="15.95" customHeight="1" thickBot="1">
      <c r="A18" s="50" t="s">
        <v>14</v>
      </c>
      <c r="B18" s="146" t="s">
        <v>14</v>
      </c>
      <c r="C18" s="155"/>
      <c r="D18" s="27">
        <v>2</v>
      </c>
      <c r="E18" s="28"/>
      <c r="F18" s="29"/>
      <c r="G18" s="29"/>
      <c r="H18" s="30"/>
      <c r="I18" s="31">
        <f t="shared" si="5"/>
        <v>0</v>
      </c>
      <c r="J18" s="52">
        <f>IF(D18=2,1,"")</f>
        <v>1</v>
      </c>
      <c r="K18" s="45">
        <f t="shared" si="6"/>
        <v>0</v>
      </c>
      <c r="L18" s="45" t="str">
        <f t="shared" si="7"/>
        <v/>
      </c>
      <c r="M18" s="46">
        <v>535</v>
      </c>
      <c r="N18" s="47">
        <v>2.6</v>
      </c>
      <c r="O18" s="46" t="str">
        <f t="shared" si="0"/>
        <v/>
      </c>
      <c r="P18" s="46" t="str">
        <f t="shared" si="1"/>
        <v/>
      </c>
      <c r="Q18" s="17" t="str">
        <f t="shared" si="3"/>
        <v/>
      </c>
      <c r="R18" s="18" t="str">
        <f t="shared" si="4"/>
        <v/>
      </c>
      <c r="S18" s="49"/>
      <c r="U18" s="7"/>
      <c r="V18" s="7"/>
      <c r="W18" s="7"/>
      <c r="X18" s="7"/>
      <c r="Y18" s="7"/>
      <c r="Z18" s="7"/>
      <c r="AA18" s="7"/>
      <c r="AG18" s="7" t="s">
        <v>49</v>
      </c>
    </row>
    <row r="19" spans="1:33" s="23" customFormat="1" ht="15.95" customHeight="1" thickBot="1">
      <c r="A19" s="38" t="s">
        <v>15</v>
      </c>
      <c r="B19" s="148"/>
      <c r="C19" s="149"/>
      <c r="D19" s="40"/>
      <c r="E19" s="41"/>
      <c r="F19" s="42"/>
      <c r="G19" s="42"/>
      <c r="H19" s="43"/>
      <c r="I19" s="44"/>
      <c r="J19" s="42"/>
      <c r="K19" s="45"/>
      <c r="L19" s="45"/>
      <c r="M19" s="46">
        <v>553</v>
      </c>
      <c r="N19" s="47">
        <v>2.5</v>
      </c>
      <c r="O19" s="46" t="str">
        <f t="shared" si="0"/>
        <v/>
      </c>
      <c r="P19" s="46" t="str">
        <f t="shared" si="1"/>
        <v/>
      </c>
      <c r="Q19" s="17" t="str">
        <f>IF(OR(B13="Auswahlliste!",B14="Auswahlliste!",B15="Auswahlliste!",B16="Auswahlliste!",B17="Auswahlliste!"),"Wahlpfl.fächer wählen!","")</f>
        <v>Wahlpfl.fächer wählen!</v>
      </c>
      <c r="R19" s="18"/>
      <c r="S19" s="49"/>
      <c r="U19" s="7"/>
      <c r="V19" s="7"/>
      <c r="W19" s="7"/>
      <c r="X19" s="7"/>
      <c r="Y19" s="7"/>
      <c r="Z19" s="7"/>
      <c r="AA19" s="7"/>
      <c r="AG19" s="7" t="s">
        <v>34</v>
      </c>
    </row>
    <row r="20" spans="1:33" s="23" customFormat="1" ht="15.95" customHeight="1" thickBot="1">
      <c r="A20" s="50" t="s">
        <v>56</v>
      </c>
      <c r="B20" s="141" t="s">
        <v>42</v>
      </c>
      <c r="C20" s="142"/>
      <c r="D20" s="27" t="str">
        <f>IF(OR(B20=V3,B20=V4,B20=V5),4,"")</f>
        <v/>
      </c>
      <c r="E20" s="28"/>
      <c r="F20" s="29"/>
      <c r="G20" s="29"/>
      <c r="H20" s="30"/>
      <c r="I20" s="31" t="str">
        <f>IF(D20="","",SUM(E20:H20))</f>
        <v/>
      </c>
      <c r="J20" s="136" t="str">
        <f>IF(D20=4,1,"")</f>
        <v/>
      </c>
      <c r="K20" s="45" t="str">
        <f t="shared" ref="K20:K28" si="8">IF(OR(J20=1,J20=2),I20*J20,"")</f>
        <v/>
      </c>
      <c r="L20" s="45" t="str">
        <f t="shared" ref="L20:L28" si="9">IF(COUNT(E20:H20)=0,"",COUNT(E20:H20)*J20)</f>
        <v/>
      </c>
      <c r="M20" s="46">
        <v>571</v>
      </c>
      <c r="N20" s="47">
        <v>2.4</v>
      </c>
      <c r="O20" s="46" t="str">
        <f t="shared" si="0"/>
        <v/>
      </c>
      <c r="P20" s="46" t="str">
        <f t="shared" si="1"/>
        <v/>
      </c>
      <c r="Q20" s="17" t="str">
        <f t="shared" si="3"/>
        <v/>
      </c>
      <c r="R20" s="18" t="str">
        <f t="shared" ref="R20:R27" si="10">IF(AND(COUNTBLANK(E20:H20)&lt;4,D20=""),"Fach auswählen!",IF(OR(B20=B$36,B20=B$37,B20=B$38),IF(COUNTIF(E20:H20,0)&gt;0,"0 Punkte  =&gt; nicht best.!",""),""))</f>
        <v/>
      </c>
      <c r="S20" s="49"/>
      <c r="U20" s="7"/>
      <c r="V20" s="7"/>
      <c r="W20" s="7"/>
      <c r="X20" s="7"/>
      <c r="Y20" s="7"/>
      <c r="Z20" s="7"/>
      <c r="AA20" s="7"/>
      <c r="AG20" s="21" t="s">
        <v>39</v>
      </c>
    </row>
    <row r="21" spans="1:33" s="23" customFormat="1" ht="15.95" customHeight="1" thickBot="1">
      <c r="A21" s="65" t="s">
        <v>55</v>
      </c>
      <c r="B21" s="160" t="s">
        <v>42</v>
      </c>
      <c r="C21" s="161"/>
      <c r="D21" s="66" t="str">
        <f>IF(OR(B21=W3,B21=W4,B21=W5,B21=W6),4,"")</f>
        <v/>
      </c>
      <c r="E21" s="166"/>
      <c r="F21" s="169"/>
      <c r="G21" s="169"/>
      <c r="H21" s="170"/>
      <c r="I21" s="69" t="str">
        <f>IF(D21="","",SUM(E21:H21))</f>
        <v/>
      </c>
      <c r="J21" s="70" t="str">
        <f>IF(D21=4,1,"")</f>
        <v/>
      </c>
      <c r="K21" s="45" t="str">
        <f t="shared" si="8"/>
        <v/>
      </c>
      <c r="L21" s="45" t="str">
        <f t="shared" si="9"/>
        <v/>
      </c>
      <c r="M21" s="46">
        <v>589</v>
      </c>
      <c r="N21" s="47">
        <v>2.2999999999999998</v>
      </c>
      <c r="O21" s="46" t="str">
        <f t="shared" si="0"/>
        <v/>
      </c>
      <c r="P21" s="46" t="str">
        <f t="shared" si="1"/>
        <v/>
      </c>
      <c r="Q21" s="17" t="str">
        <f t="shared" si="3"/>
        <v/>
      </c>
      <c r="R21" s="18" t="str">
        <f>IF(AND(COUNTBLANK(E21:H21)&lt;4,D21=""),"Fach auswählen!",IF(OR(B21=B$36,B21=B$37,B21=B$38),IF(COUNTIF(E21:H21,0)&gt;0,"0 Punkte  =&gt; nicht best.!",""),""))</f>
        <v/>
      </c>
      <c r="S21" s="49"/>
      <c r="U21" s="7"/>
      <c r="V21" s="7"/>
      <c r="W21" s="7"/>
      <c r="X21" s="7"/>
      <c r="Y21" s="7"/>
      <c r="Z21" s="7"/>
      <c r="AA21" s="7"/>
      <c r="AG21" s="7" t="s">
        <v>14</v>
      </c>
    </row>
    <row r="22" spans="1:33" s="23" customFormat="1" ht="15.95" customHeight="1" thickBot="1">
      <c r="A22" s="65" t="s">
        <v>16</v>
      </c>
      <c r="B22" s="162"/>
      <c r="C22" s="163"/>
      <c r="D22" s="71" t="str">
        <f>IF(B21=W7,2,"")</f>
        <v/>
      </c>
      <c r="E22" s="167"/>
      <c r="F22" s="169"/>
      <c r="G22" s="169"/>
      <c r="H22" s="170"/>
      <c r="I22" s="72" t="str">
        <f>IF(D22="","",SUM(E22:H22))</f>
        <v/>
      </c>
      <c r="J22" s="73" t="str">
        <f t="shared" ref="J22:J29" si="11">IF(D22=2,1,"")</f>
        <v/>
      </c>
      <c r="K22" s="45" t="str">
        <f t="shared" si="8"/>
        <v/>
      </c>
      <c r="L22" s="45" t="str">
        <f t="shared" si="9"/>
        <v/>
      </c>
      <c r="M22" s="46">
        <v>607</v>
      </c>
      <c r="N22" s="47">
        <v>2.2000000000000002</v>
      </c>
      <c r="O22" s="46" t="str">
        <f t="shared" si="0"/>
        <v/>
      </c>
      <c r="P22" s="46" t="str">
        <f t="shared" si="1"/>
        <v/>
      </c>
      <c r="Q22" s="17" t="str">
        <f>IF(OR(B21=B$36,B21=B$37,B21=B$38),IF(COUNTBLANK(E21:H21)&gt;0,"Alle 4 Noten eintragen!",""),"")</f>
        <v/>
      </c>
      <c r="R22" s="18" t="str">
        <f>IF(AND(COUNTBLANK(E21:H21)&lt;4,D22=""),"Fach auswählen!",IF(OR(B22=B$36,B22=B$37,B22=B$38),IF(COUNTIF(E22:H22,0)&gt;0,"0 Punkte  =&gt; nicht best.!",""),""))</f>
        <v/>
      </c>
      <c r="S22" s="49"/>
      <c r="U22" s="7"/>
      <c r="V22" s="7"/>
      <c r="W22" s="7"/>
      <c r="X22" s="7"/>
      <c r="Y22" s="7"/>
      <c r="Z22" s="7"/>
      <c r="AA22" s="7"/>
      <c r="AG22" s="7"/>
    </row>
    <row r="23" spans="1:33" s="23" customFormat="1" ht="15.95" customHeight="1" thickBot="1">
      <c r="A23" s="50" t="s">
        <v>43</v>
      </c>
      <c r="B23" s="164"/>
      <c r="C23" s="165"/>
      <c r="D23" s="74" t="str">
        <f>IF(OR(B21=W8,B21=W9,B21=W10),2,"")</f>
        <v/>
      </c>
      <c r="E23" s="168"/>
      <c r="F23" s="169"/>
      <c r="G23" s="169"/>
      <c r="H23" s="170"/>
      <c r="I23" s="76" t="str">
        <f>IF(D23="","",SUM(E23:H23))</f>
        <v/>
      </c>
      <c r="J23" s="77" t="str">
        <f t="shared" si="11"/>
        <v/>
      </c>
      <c r="K23" s="45" t="str">
        <f t="shared" si="8"/>
        <v/>
      </c>
      <c r="L23" s="45" t="str">
        <f t="shared" si="9"/>
        <v/>
      </c>
      <c r="M23" s="46">
        <v>625</v>
      </c>
      <c r="N23" s="47">
        <v>2.1</v>
      </c>
      <c r="O23" s="46" t="str">
        <f t="shared" si="0"/>
        <v/>
      </c>
      <c r="P23" s="46" t="str">
        <f t="shared" si="1"/>
        <v/>
      </c>
      <c r="Q23" s="17" t="str">
        <f>IF(OR(B21=B$36,B21=B$37,B21=B$38),IF(COUNTBLANK(E21:H21)&gt;0,"Alle 4 Noten eintragen!",""),"")</f>
        <v/>
      </c>
      <c r="R23" s="18" t="str">
        <f>IF(AND(COUNTBLANK(E21:H21)&lt;4,D23=""),"Fach auswählen!",IF(OR(B23=B$36,B23=B$37,B23=B$38),IF(COUNTIF(E23:H23,0)&gt;0,"0 Punkte  =&gt; nicht best.!",""),""))</f>
        <v/>
      </c>
      <c r="S23" s="49"/>
      <c r="T23" s="7"/>
      <c r="U23" s="7"/>
      <c r="V23" s="7"/>
      <c r="W23" s="7"/>
      <c r="X23" s="7"/>
      <c r="Y23" s="7"/>
      <c r="Z23" s="7"/>
      <c r="AA23" s="7"/>
      <c r="AG23" s="7"/>
    </row>
    <row r="24" spans="1:33" s="23" customFormat="1" ht="15.95" customHeight="1" thickBot="1">
      <c r="A24" s="50" t="s">
        <v>46</v>
      </c>
      <c r="B24" s="141" t="s">
        <v>42</v>
      </c>
      <c r="C24" s="142"/>
      <c r="D24" s="27" t="str">
        <f>IF(OR(B24=Y3,B24=Y4,B24=Y5),2,"")</f>
        <v/>
      </c>
      <c r="E24" s="28"/>
      <c r="F24" s="29"/>
      <c r="G24" s="29"/>
      <c r="H24" s="30"/>
      <c r="I24" s="31" t="str">
        <f>IF(D24="","",SUM(E24:H24))</f>
        <v/>
      </c>
      <c r="J24" s="78" t="str">
        <f t="shared" si="11"/>
        <v/>
      </c>
      <c r="K24" s="45" t="str">
        <f t="shared" si="8"/>
        <v/>
      </c>
      <c r="L24" s="45" t="str">
        <f t="shared" si="9"/>
        <v/>
      </c>
      <c r="M24" s="46">
        <v>643</v>
      </c>
      <c r="N24" s="64">
        <v>2</v>
      </c>
      <c r="O24" s="46" t="str">
        <f t="shared" si="0"/>
        <v/>
      </c>
      <c r="P24" s="46" t="str">
        <f t="shared" si="1"/>
        <v/>
      </c>
      <c r="Q24" s="17" t="str">
        <f t="shared" si="3"/>
        <v/>
      </c>
      <c r="R24" s="18" t="str">
        <f t="shared" si="10"/>
        <v/>
      </c>
      <c r="S24" s="49"/>
      <c r="U24" s="7"/>
      <c r="V24" s="7"/>
      <c r="W24" s="7"/>
      <c r="X24" s="7"/>
      <c r="Y24" s="7"/>
      <c r="Z24" s="7"/>
      <c r="AA24" s="7"/>
    </row>
    <row r="25" spans="1:33" s="23" customFormat="1" ht="15.95" customHeight="1" thickBot="1">
      <c r="A25" s="50" t="s">
        <v>51</v>
      </c>
      <c r="B25" s="141" t="s">
        <v>42</v>
      </c>
      <c r="C25" s="142"/>
      <c r="D25" s="27" t="str">
        <f>IF(OR(B25=Z3,B25=Z4,B25=Z5),2,"")</f>
        <v/>
      </c>
      <c r="E25" s="28"/>
      <c r="F25" s="29"/>
      <c r="G25" s="29"/>
      <c r="H25" s="30"/>
      <c r="I25" s="31" t="str">
        <f t="shared" ref="I25:I28" si="12">IF(D25="","",SUM(E25:H25))</f>
        <v/>
      </c>
      <c r="J25" s="78" t="str">
        <f t="shared" si="11"/>
        <v/>
      </c>
      <c r="K25" s="45" t="str">
        <f t="shared" si="8"/>
        <v/>
      </c>
      <c r="L25" s="45" t="str">
        <f t="shared" si="9"/>
        <v/>
      </c>
      <c r="M25" s="46">
        <v>661</v>
      </c>
      <c r="N25" s="47">
        <v>1.9</v>
      </c>
      <c r="O25" s="46" t="str">
        <f t="shared" si="0"/>
        <v/>
      </c>
      <c r="P25" s="46" t="str">
        <f t="shared" si="1"/>
        <v/>
      </c>
      <c r="Q25" s="17" t="str">
        <f>IF(COUNTBLANK(E25:H25)=0,"Nur 3 Kurse einzubringen!","")</f>
        <v/>
      </c>
      <c r="R25" s="18" t="str">
        <f t="shared" si="10"/>
        <v/>
      </c>
      <c r="S25" s="49"/>
      <c r="U25" s="7"/>
      <c r="V25" s="7"/>
      <c r="W25" s="7"/>
      <c r="X25" s="7"/>
      <c r="Y25" s="7"/>
      <c r="Z25" s="7"/>
      <c r="AA25" s="7"/>
    </row>
    <row r="26" spans="1:33" s="23" customFormat="1" ht="15.95" customHeight="1" thickBot="1">
      <c r="A26" s="50" t="s">
        <v>17</v>
      </c>
      <c r="B26" s="141" t="s">
        <v>42</v>
      </c>
      <c r="C26" s="142"/>
      <c r="D26" s="27" t="str">
        <f>IF(B26=AB4,2,"")</f>
        <v/>
      </c>
      <c r="E26" s="28"/>
      <c r="F26" s="29"/>
      <c r="G26" s="29"/>
      <c r="H26" s="30"/>
      <c r="I26" s="31" t="str">
        <f t="shared" si="12"/>
        <v/>
      </c>
      <c r="J26" s="78" t="str">
        <f t="shared" si="11"/>
        <v/>
      </c>
      <c r="K26" s="45" t="str">
        <f t="shared" si="8"/>
        <v/>
      </c>
      <c r="L26" s="45" t="str">
        <f t="shared" si="9"/>
        <v/>
      </c>
      <c r="M26" s="46">
        <v>679</v>
      </c>
      <c r="N26" s="47">
        <v>1.8</v>
      </c>
      <c r="O26" s="46" t="str">
        <f t="shared" si="0"/>
        <v/>
      </c>
      <c r="P26" s="46" t="str">
        <f>O26&amp;""&amp;P27</f>
        <v/>
      </c>
      <c r="Q26" s="17" t="str">
        <f t="shared" si="3"/>
        <v/>
      </c>
      <c r="R26" s="18" t="str">
        <f t="shared" si="10"/>
        <v/>
      </c>
      <c r="S26" s="49"/>
      <c r="U26" s="7"/>
      <c r="V26" s="7"/>
      <c r="W26" s="7"/>
      <c r="X26" s="7"/>
      <c r="Y26" s="7"/>
      <c r="Z26" s="7"/>
      <c r="AA26" s="7"/>
      <c r="AG26" s="7"/>
    </row>
    <row r="27" spans="1:33" s="23" customFormat="1" ht="15.95" customHeight="1" thickBot="1">
      <c r="A27" s="50" t="s">
        <v>57</v>
      </c>
      <c r="B27" s="141" t="s">
        <v>42</v>
      </c>
      <c r="C27" s="142"/>
      <c r="D27" s="27" t="str">
        <f>IF(OR(B27=AA3,B27=AA4),2,"")</f>
        <v/>
      </c>
      <c r="E27" s="28"/>
      <c r="F27" s="29"/>
      <c r="G27" s="29"/>
      <c r="H27" s="30"/>
      <c r="I27" s="31" t="str">
        <f t="shared" si="12"/>
        <v/>
      </c>
      <c r="J27" s="78" t="str">
        <f t="shared" si="11"/>
        <v/>
      </c>
      <c r="K27" s="45" t="str">
        <f t="shared" si="8"/>
        <v/>
      </c>
      <c r="L27" s="45" t="str">
        <f t="shared" si="9"/>
        <v/>
      </c>
      <c r="M27" s="46">
        <v>697</v>
      </c>
      <c r="N27" s="47">
        <v>1.7</v>
      </c>
      <c r="O27" s="46" t="str">
        <f t="shared" si="0"/>
        <v/>
      </c>
      <c r="P27" s="46" t="str">
        <f t="shared" si="1"/>
        <v/>
      </c>
      <c r="Q27" s="17" t="str">
        <f t="shared" si="3"/>
        <v/>
      </c>
      <c r="R27" s="18" t="str">
        <f t="shared" si="10"/>
        <v/>
      </c>
      <c r="S27" s="49"/>
      <c r="T27" s="7"/>
      <c r="U27" s="7"/>
      <c r="V27" s="7"/>
      <c r="W27" s="7"/>
      <c r="X27" s="7"/>
      <c r="Y27" s="7"/>
      <c r="Z27" s="7"/>
      <c r="AA27" s="7"/>
      <c r="AG27" s="7"/>
    </row>
    <row r="28" spans="1:33" s="23" customFormat="1" ht="15.95" customHeight="1" thickBot="1">
      <c r="A28" s="50" t="s">
        <v>18</v>
      </c>
      <c r="B28" s="141" t="s">
        <v>42</v>
      </c>
      <c r="C28" s="142"/>
      <c r="D28" s="27" t="str">
        <f>IF(OR(B28=AC3),2,"")</f>
        <v/>
      </c>
      <c r="E28" s="28"/>
      <c r="F28" s="29"/>
      <c r="G28" s="29"/>
      <c r="H28" s="30"/>
      <c r="I28" s="31" t="str">
        <f t="shared" si="12"/>
        <v/>
      </c>
      <c r="J28" s="78" t="str">
        <f t="shared" si="11"/>
        <v/>
      </c>
      <c r="K28" s="45" t="str">
        <f t="shared" si="8"/>
        <v/>
      </c>
      <c r="L28" s="45" t="str">
        <f t="shared" si="9"/>
        <v/>
      </c>
      <c r="M28" s="46">
        <v>715</v>
      </c>
      <c r="N28" s="47">
        <v>1.6</v>
      </c>
      <c r="O28" s="46" t="str">
        <f t="shared" si="0"/>
        <v/>
      </c>
      <c r="P28" s="46" t="str">
        <f t="shared" si="1"/>
        <v/>
      </c>
      <c r="Q28" s="17" t="str">
        <f t="shared" si="3"/>
        <v/>
      </c>
      <c r="R28" s="18" t="str">
        <f>IF(AND(COUNTBLANK(E28:H28)&lt;4,D28=""),"Fach auswählen!",IF(OR(B28=B$36,B28=B$37,B28=B$38),IF(COUNTIF(E28:H28,0)&gt;0,"0 Punkte  =&gt; nicht best.!",""),""))</f>
        <v/>
      </c>
      <c r="S28" s="49"/>
      <c r="U28" s="7"/>
      <c r="V28" s="7"/>
      <c r="W28" s="7"/>
      <c r="X28" s="7"/>
      <c r="Y28" s="7"/>
      <c r="Z28" s="7"/>
      <c r="AA28" s="7"/>
      <c r="AG28" s="7"/>
    </row>
    <row r="29" spans="1:33" s="23" customFormat="1" ht="15.95" hidden="1" customHeight="1" thickBot="1">
      <c r="A29" s="79"/>
      <c r="B29" s="171"/>
      <c r="C29" s="172"/>
      <c r="D29" s="27" t="str">
        <f>IF(B29=AD3,2,"")</f>
        <v/>
      </c>
      <c r="E29" s="28"/>
      <c r="F29" s="29"/>
      <c r="G29" s="29"/>
      <c r="H29" s="30"/>
      <c r="I29" s="31"/>
      <c r="J29" s="78" t="str">
        <f t="shared" si="11"/>
        <v/>
      </c>
      <c r="K29" s="45"/>
      <c r="L29" s="45"/>
      <c r="M29" s="46"/>
      <c r="N29" s="47"/>
      <c r="O29" s="46"/>
      <c r="P29" s="46"/>
      <c r="Q29" s="17"/>
      <c r="R29" s="18"/>
      <c r="S29" s="49"/>
      <c r="U29" s="7"/>
      <c r="V29" s="7"/>
      <c r="W29" s="7"/>
      <c r="X29" s="7"/>
      <c r="Y29" s="7"/>
      <c r="Z29" s="7"/>
      <c r="AA29" s="7"/>
      <c r="AG29" s="80"/>
    </row>
    <row r="30" spans="1:33" s="23" customFormat="1" ht="15.95" customHeight="1" thickBot="1">
      <c r="A30" s="173" t="s">
        <v>19</v>
      </c>
      <c r="B30" s="174"/>
      <c r="C30" s="175"/>
      <c r="D30" s="81">
        <f>SUM(D4:D29)</f>
        <v>30</v>
      </c>
      <c r="E30" s="183" t="s">
        <v>63</v>
      </c>
      <c r="F30" s="184"/>
      <c r="G30" s="184"/>
      <c r="H30" s="82">
        <f>COUNT(E4:H29)-COUNTIF(E4:H29,0)</f>
        <v>0</v>
      </c>
      <c r="I30" s="176" t="str">
        <f>IF(COUNTIF(J4:J29,2)&lt;3,"Faktor 3x auf 2 setzen!",IF(COUNTIF(J4:J29,2)&gt;3,"Faktor nur 3x auf 2 setzen!",""))</f>
        <v>Faktor 3x auf 2 setzen!</v>
      </c>
      <c r="J30" s="177"/>
      <c r="K30" s="177"/>
      <c r="L30" s="83"/>
      <c r="M30" s="46">
        <v>751</v>
      </c>
      <c r="N30" s="47">
        <v>1.4</v>
      </c>
      <c r="O30" s="46" t="str">
        <f t="shared" si="0"/>
        <v/>
      </c>
      <c r="P30" s="46" t="str">
        <f t="shared" si="1"/>
        <v/>
      </c>
      <c r="Q30" s="84"/>
      <c r="R30" s="18" t="str">
        <f>IF(AND(COUNTBLANK(E15:H15)&gt;0,COUNTBLANK(E20:H20)&gt;0),"4 N. in NW-Fach eintr.!",IF(OR(COUNTIF(E15:H15,0)&gt;0,COUNTIF(E20:H20,0)&gt;0),"0 Punkte  =&gt; nicht best.!",""))</f>
        <v>4 N. in NW-Fach eintr.!</v>
      </c>
      <c r="S30" s="86"/>
      <c r="U30" s="7"/>
      <c r="V30" s="7"/>
      <c r="W30" s="7"/>
      <c r="X30" s="7"/>
      <c r="Y30" s="7"/>
      <c r="Z30" s="7"/>
      <c r="AA30" s="7"/>
    </row>
    <row r="31" spans="1:33" ht="15.95" customHeight="1">
      <c r="A31" s="87"/>
      <c r="B31" s="17" t="str">
        <f>IF(OR(B20=B15,B24=B17),"Doppelbelegung!","")</f>
        <v/>
      </c>
      <c r="C31" s="137" t="str">
        <f>IF(D30&lt;34,"zu wenig Stunden/Semester","")</f>
        <v>zu wenig Stunden/Semester</v>
      </c>
      <c r="D31" s="137"/>
      <c r="E31" s="137"/>
      <c r="F31" s="88"/>
      <c r="G31" s="179" t="str">
        <f>IF(H30&lt;32,"zu wenig Kurse!","")</f>
        <v>zu wenig Kurse!</v>
      </c>
      <c r="H31" s="179"/>
      <c r="I31" s="178"/>
      <c r="J31" s="178"/>
      <c r="K31" s="178"/>
      <c r="L31" s="89"/>
      <c r="M31" s="33">
        <v>769</v>
      </c>
      <c r="N31" s="37">
        <v>1.3</v>
      </c>
      <c r="O31" s="33" t="str">
        <f t="shared" si="0"/>
        <v/>
      </c>
      <c r="P31" s="33" t="str">
        <f t="shared" si="1"/>
        <v/>
      </c>
      <c r="Q31" s="82"/>
      <c r="R31" s="18" t="str">
        <f>IF(AND(COUNTBLANK(E9:H9)&gt;0,COUNTBLANK(E17:H17)&gt;0,COUNTBLANK(E24:H24)&gt;0),"4 N. in künstl. Fach eintr.!",IF(OR(COUNTIF(E9:H9,0)&gt;0,COUNTIF(E24:H24,0)&gt;0),"0 Punkte  =&gt; nicht best.!",""))</f>
        <v>4 N. in künstl. Fach eintr.!</v>
      </c>
    </row>
    <row r="32" spans="1:33" ht="15.95" customHeight="1" thickBot="1">
      <c r="A32" s="87"/>
      <c r="B32" s="88"/>
      <c r="C32" s="17"/>
      <c r="D32" s="17"/>
      <c r="E32" s="17"/>
      <c r="F32" s="179" t="str">
        <f>IF(COUNTIF(E4:H29,"&gt;15")&gt;0,"Notenwert(e) zu hoch!",IF(COUNTIF(E4:H29,"&lt;5")&gt;(H30/5),"zu viele Unterkurse!",""))</f>
        <v/>
      </c>
      <c r="G32" s="180"/>
      <c r="H32" s="180"/>
      <c r="I32" s="91"/>
      <c r="J32" s="91"/>
      <c r="K32" s="91"/>
      <c r="L32" s="89"/>
      <c r="M32" s="33">
        <v>787</v>
      </c>
      <c r="N32" s="37">
        <v>1.2</v>
      </c>
      <c r="O32" s="33" t="str">
        <f t="shared" si="0"/>
        <v/>
      </c>
      <c r="P32" s="33" t="str">
        <f t="shared" si="1"/>
        <v/>
      </c>
      <c r="Q32" s="137" t="str">
        <f>IF(AND(COUNTBLANK(E10:H10)&gt;0,COUNTBLANK(E14:H14)&gt;0,COUNTBLANK(E26:H26)&gt;0,COUNTBLANK(E29:H29)&gt;0),"4 Noten in PGW, Geschichte oder Geo eintragen!",IF(OR(COUNTIF(E8:H8,0)&gt;0,COUNTIF(E14:H14,0)&gt;0,COUNTIF(E26:H26,0)&gt;0,COUNTIF(E29:H29,0)&gt;0),"0 Punkte  =&gt; nicht best.!",""))</f>
        <v>4 Noten in PGW, Geschichte oder Geo eintragen!</v>
      </c>
      <c r="R32" s="138"/>
    </row>
    <row r="33" spans="1:18" ht="15.95" customHeight="1" thickBot="1">
      <c r="A33" s="1" t="s">
        <v>67</v>
      </c>
      <c r="B33" s="92"/>
      <c r="C33" s="92"/>
      <c r="D33" s="92"/>
      <c r="E33" s="88"/>
      <c r="F33" s="88"/>
      <c r="G33" s="88"/>
      <c r="H33" s="88"/>
      <c r="I33" s="89"/>
      <c r="J33" s="89"/>
      <c r="K33" s="89"/>
      <c r="L33" s="89"/>
      <c r="M33" s="33">
        <v>805</v>
      </c>
      <c r="N33" s="37">
        <v>1.1000000000000001</v>
      </c>
      <c r="O33" s="33" t="str">
        <f>IF(P34&lt;&gt;"","",IF($F$38&gt;=M33,N33,""))</f>
        <v/>
      </c>
      <c r="P33" s="33" t="str">
        <f>O33&amp;""&amp;P34</f>
        <v/>
      </c>
      <c r="Q33" s="82"/>
      <c r="R33" s="90"/>
    </row>
    <row r="34" spans="1:18" ht="15.95" customHeight="1" thickBot="1">
      <c r="A34" s="93"/>
      <c r="B34" s="92"/>
      <c r="C34" s="94" t="s">
        <v>4</v>
      </c>
      <c r="D34" s="94" t="s">
        <v>73</v>
      </c>
      <c r="E34" s="88"/>
      <c r="F34" s="181" t="s">
        <v>74</v>
      </c>
      <c r="G34" s="182"/>
      <c r="H34" s="88"/>
      <c r="I34" s="181" t="s">
        <v>76</v>
      </c>
      <c r="J34" s="182"/>
      <c r="K34" s="89"/>
      <c r="L34" s="89"/>
      <c r="M34" s="33">
        <v>823</v>
      </c>
      <c r="N34" s="34">
        <v>1</v>
      </c>
      <c r="O34" s="33" t="str">
        <f>IF($F$38&gt;=M34,N34,"")</f>
        <v/>
      </c>
      <c r="P34" s="33" t="str">
        <f>O34</f>
        <v/>
      </c>
      <c r="Q34" s="82"/>
      <c r="R34" s="90"/>
    </row>
    <row r="35" spans="1:18" ht="15.95" customHeight="1" thickBot="1">
      <c r="A35" s="93" t="s">
        <v>68</v>
      </c>
      <c r="B35" s="95" t="s">
        <v>72</v>
      </c>
      <c r="C35" s="96" t="s">
        <v>64</v>
      </c>
      <c r="D35" s="97"/>
      <c r="E35" s="88"/>
      <c r="F35" s="185">
        <f>5*SUM(D35:D38)</f>
        <v>0</v>
      </c>
      <c r="G35" s="186"/>
      <c r="H35" s="88"/>
      <c r="I35" s="185" t="str">
        <f>IF(SUM(K4:K29)=0,"0",ROUND(SUM(K4:K29)/SUM(L4:L29)*40,0))</f>
        <v>0</v>
      </c>
      <c r="J35" s="186"/>
      <c r="K35" s="89"/>
      <c r="L35" s="89"/>
      <c r="M35" s="33"/>
      <c r="N35" s="98"/>
      <c r="O35" s="33"/>
      <c r="P35" s="33" t="str">
        <f>P34&amp;""&amp;O35</f>
        <v/>
      </c>
      <c r="Q35" s="82"/>
      <c r="R35" s="18"/>
    </row>
    <row r="36" spans="1:18" ht="15.95" customHeight="1" thickBot="1">
      <c r="A36" s="93" t="s">
        <v>69</v>
      </c>
      <c r="B36" s="99"/>
      <c r="C36" s="96" t="s">
        <v>64</v>
      </c>
      <c r="D36" s="97"/>
      <c r="E36" s="88"/>
      <c r="F36" s="191" t="str">
        <f>IF(F35&lt;100,"nicht best. (&lt;100P.)","")</f>
        <v>nicht best. (&lt;100P.)</v>
      </c>
      <c r="G36" s="191"/>
      <c r="H36" s="88"/>
      <c r="I36" s="191" t="str">
        <f>IF(I35&lt;200,"nicht best. (&lt;200P.)","")</f>
        <v/>
      </c>
      <c r="J36" s="191"/>
      <c r="K36" s="89"/>
      <c r="L36" s="89"/>
      <c r="M36" s="33"/>
      <c r="N36" s="98"/>
      <c r="O36" s="33"/>
      <c r="P36" s="33"/>
      <c r="Q36" s="82"/>
      <c r="R36" s="18"/>
    </row>
    <row r="37" spans="1:18" ht="15.95" customHeight="1" thickBot="1">
      <c r="A37" s="93" t="s">
        <v>70</v>
      </c>
      <c r="B37" s="99"/>
      <c r="C37" s="100" t="s">
        <v>66</v>
      </c>
      <c r="D37" s="97"/>
      <c r="E37" s="88"/>
      <c r="F37" s="181" t="s">
        <v>78</v>
      </c>
      <c r="G37" s="182"/>
      <c r="H37" s="88"/>
      <c r="I37" s="192" t="s">
        <v>79</v>
      </c>
      <c r="J37" s="193"/>
      <c r="K37" s="89"/>
      <c r="L37" s="89"/>
      <c r="M37" s="89"/>
      <c r="N37" s="89"/>
      <c r="O37" s="89"/>
      <c r="P37" s="89"/>
      <c r="Q37" s="82"/>
      <c r="R37" s="18"/>
    </row>
    <row r="38" spans="1:18" ht="15.95" customHeight="1" thickBot="1">
      <c r="A38" s="93" t="s">
        <v>71</v>
      </c>
      <c r="B38" s="99"/>
      <c r="C38" s="100" t="s">
        <v>66</v>
      </c>
      <c r="D38" s="97"/>
      <c r="E38" s="88"/>
      <c r="F38" s="185">
        <f>F35+I35</f>
        <v>0</v>
      </c>
      <c r="G38" s="186"/>
      <c r="H38" s="88"/>
      <c r="I38" s="194" t="str">
        <f>IF(AND(A39="",A40="",A41="",A42="",A43="",B39="",B40="",B41="",B42="",B43="",C39="",C40="",F36="",I36="",G31="",I30="",Q3="",Q4="",Q5="",Q6="",Q7="",Q8="",Q9="",Q10="",Q11="",Q12="",Q13="",Q14="",Q15="",Q16="",Q17="",Q18="",Q19="",Q20="",Q21="",Q22="",Q23="",Q24="",Q25="",Q26="",Q27="",Q28="",Q30="",Q32="",R3="",R4="",R5="",R8="",R9="",R10="",R11="",R12="",R13="",R14="",R15="",R16="",R17="",R18="",R19="",R20="",R21="",R22="",R23="",R24="",R25="",R26="",R27="",R28="",R30="",R31=""),P4,"Fehler vorhanden")</f>
        <v>Fehler vorhanden</v>
      </c>
      <c r="J38" s="195"/>
      <c r="K38" s="89"/>
      <c r="L38" s="89"/>
      <c r="M38" s="89"/>
      <c r="N38" s="89"/>
      <c r="O38" s="89"/>
      <c r="P38" s="89"/>
      <c r="Q38" s="82"/>
      <c r="R38" s="18" t="str">
        <f>IF(COUNTIF(C35:C37,"EN")&lt;2,"mind. 2x EN wählen!","")</f>
        <v/>
      </c>
    </row>
    <row r="39" spans="1:18" ht="15.95" customHeight="1">
      <c r="A39" s="93"/>
      <c r="B39" s="101" t="str">
        <f>IF(COUNTIF(B35:B38,"Deutsch")+COUNTIF(B35:B38,"Mathematik")+COUNTIF(B35:B38,"Englisch")+COUNTIF(B35:B38,"Spanisch")+COUNTIF(B35:B38,"Französisch")+COUNTIF(B35:B38,"Latein")&lt;2,"2 Kernfächer wählen!",IF(OR(B35=B36,B35=B37,B35=B38,B36=B37,B36=B38,B37=B38),"versch. Fächer wählen!",""))</f>
        <v>2 Kernfächer wählen!</v>
      </c>
      <c r="C39" s="187" t="str">
        <f>IF(COUNTIF(D35:D38,"&lt;5")&gt;2,"nicht best. (3-4mal &lt; 5 P.)","")</f>
        <v/>
      </c>
      <c r="D39" s="188"/>
      <c r="E39" s="188"/>
      <c r="F39" s="189"/>
      <c r="G39" s="189"/>
      <c r="H39" s="88"/>
      <c r="I39" s="89"/>
      <c r="J39" s="89"/>
      <c r="K39" s="89"/>
      <c r="L39" s="89"/>
      <c r="M39" s="89"/>
      <c r="N39" s="89"/>
      <c r="O39" s="89"/>
      <c r="P39" s="89"/>
      <c r="Q39" s="82"/>
      <c r="R39" s="90"/>
    </row>
    <row r="40" spans="1:18" ht="15.95" customHeight="1">
      <c r="A40" s="104" t="str">
        <f>IF(COUNTIF(B$4:B$29,B35)=1,"","1. Prüfungsfach in Block 1 nicht belegt!")</f>
        <v>1. Prüfungsfach in Block 1 nicht belegt!</v>
      </c>
      <c r="B40" s="105" t="str">
        <f>IF(COUNTIF(B35:B38,"Deutsch")+COUNTIF(B35:B38,"Englisch")+COUNTIF(B35:B38,"Spanisch")+COUNTIF(B35:B38,"Französisch")+COUNTIF(B35:B38,"Latein")+COUNTIF(B35:B38,"Kunst")+COUNTIF(B35:B38,"Musik")+COUNTIF(B35:B38,DSP)=0,"1. Aufgabenfeld fehlt!","")</f>
        <v>1. Aufgabenfeld fehlt!</v>
      </c>
      <c r="C40" s="187" t="str">
        <f>IF(OR(D35&gt;45,D36&gt;4),"",IF(AND(C37="EN",D37&gt;4),"",IF(AND(C38="EN",D38&gt;4),"","nicht bestanden (EN &lt; 5 P.)")))</f>
        <v>nicht bestanden (EN &lt; 5 P.)</v>
      </c>
      <c r="D40" s="190"/>
      <c r="E40" s="190"/>
      <c r="F40" s="88"/>
      <c r="G40" s="88"/>
      <c r="H40" s="88"/>
      <c r="I40" s="89"/>
      <c r="J40" s="89"/>
      <c r="K40" s="89"/>
      <c r="L40" s="89"/>
      <c r="M40" s="89"/>
      <c r="N40" s="89"/>
      <c r="O40" s="89"/>
      <c r="P40" s="89"/>
      <c r="Q40" s="82"/>
      <c r="R40" s="90"/>
    </row>
    <row r="41" spans="1:18" ht="15.95" customHeight="1">
      <c r="A41" s="104" t="str">
        <f>IF(COUNTIF(B$4:B$29,B36)=1,"","2. Prüfungsfach in Block 1 nicht belegt!")</f>
        <v>2. Prüfungsfach in Block 1 nicht belegt!</v>
      </c>
      <c r="B41" s="105" t="str">
        <f>IF(COUNTIF(B35:B38,"PGW")+COUNTIF(B35:B38,"Geschichte")+COUNTIF(B35:B38,"Geographie")+COUNTIF(B35:B38,"Religion")+COUNTIF(B35:B38,"Philosophie")+COUNTIF(B35:B38,"Pädagogik")+COUNTIF(B35:B38,"Psychologie")=0,"2. Aufgabenfeld fehlt!","")</f>
        <v>2. Aufgabenfeld fehlt!</v>
      </c>
      <c r="C41" s="106"/>
      <c r="D41" s="106"/>
      <c r="E41" s="106"/>
      <c r="F41" s="88"/>
      <c r="G41" s="88"/>
      <c r="H41" s="88"/>
      <c r="I41" s="89"/>
      <c r="J41" s="89"/>
      <c r="K41" s="89"/>
      <c r="L41" s="89"/>
      <c r="M41" s="89"/>
      <c r="N41" s="89"/>
      <c r="O41" s="89"/>
      <c r="P41" s="89"/>
      <c r="Q41" s="82"/>
      <c r="R41" s="90"/>
    </row>
    <row r="42" spans="1:18" ht="15.95" customHeight="1">
      <c r="A42" s="104" t="str">
        <f>IF(COUNTIF(B$4:B$29,B37)=1,"","3. Prüfungsfach in Block 1 nicht belegt!")</f>
        <v>3. Prüfungsfach in Block 1 nicht belegt!</v>
      </c>
      <c r="B42" s="105" t="str">
        <f>IF(COUNTIF(B35:B38,"Mathematik")+COUNTIF(B35:B38,"Biologie")+COUNTIF(B35:B38,"Chemie")+COUNTIF(B35:B38,"Physik")+COUNTIF(B35:B38,"Informatik")=0,"3. Aufgabenfeld fehlt!","")</f>
        <v>3. Aufgabenfeld fehlt!</v>
      </c>
      <c r="C42" s="92"/>
      <c r="D42" s="92"/>
      <c r="E42" s="88"/>
      <c r="F42" s="88"/>
      <c r="G42" s="88"/>
      <c r="H42" s="88"/>
      <c r="I42" s="89"/>
      <c r="J42" s="89"/>
      <c r="K42" s="89"/>
      <c r="L42" s="89"/>
      <c r="M42" s="89"/>
      <c r="N42" s="89"/>
      <c r="O42" s="89"/>
      <c r="P42" s="89"/>
      <c r="Q42" s="82"/>
      <c r="R42" s="90"/>
    </row>
    <row r="43" spans="1:18" ht="15.95" customHeight="1" thickBot="1">
      <c r="A43" s="107" t="str">
        <f>IF(COUNTIF(B$4:B$29,B38)=1,"","4. Prüfungsfach in Block 1 nicht belegt!")</f>
        <v>4. Prüfungsfach in Block 1 nicht belegt!</v>
      </c>
      <c r="B43" s="108" t="str">
        <f>IF(COUNTIF(B35:B38,B8)=0,"profilgeb. Fach fehlt!","")</f>
        <v>profilgeb. Fach fehlt!</v>
      </c>
      <c r="C43" s="109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1"/>
      <c r="R43" s="112"/>
    </row>
  </sheetData>
  <sheetProtection password="C9F7" sheet="1" objects="1" scenarios="1"/>
  <mergeCells count="50">
    <mergeCell ref="C39:E39"/>
    <mergeCell ref="F39:G39"/>
    <mergeCell ref="C40:E40"/>
    <mergeCell ref="F36:G36"/>
    <mergeCell ref="I36:J36"/>
    <mergeCell ref="F37:G37"/>
    <mergeCell ref="I37:J37"/>
    <mergeCell ref="F38:G38"/>
    <mergeCell ref="I38:J38"/>
    <mergeCell ref="F34:G34"/>
    <mergeCell ref="I34:J34"/>
    <mergeCell ref="E30:G30"/>
    <mergeCell ref="F35:G35"/>
    <mergeCell ref="I35:J35"/>
    <mergeCell ref="A30:C30"/>
    <mergeCell ref="I30:K31"/>
    <mergeCell ref="C31:E31"/>
    <mergeCell ref="G31:H31"/>
    <mergeCell ref="F32:H32"/>
    <mergeCell ref="B24:C24"/>
    <mergeCell ref="B26:C26"/>
    <mergeCell ref="B27:C27"/>
    <mergeCell ref="B28:C28"/>
    <mergeCell ref="B29:C29"/>
    <mergeCell ref="B21:C23"/>
    <mergeCell ref="E21:E23"/>
    <mergeCell ref="F21:F23"/>
    <mergeCell ref="G21:G23"/>
    <mergeCell ref="H21:H23"/>
    <mergeCell ref="A4:A6"/>
    <mergeCell ref="B7:C7"/>
    <mergeCell ref="Q7:R7"/>
    <mergeCell ref="B9:C9"/>
    <mergeCell ref="B10:C10"/>
    <mergeCell ref="Q32:R32"/>
    <mergeCell ref="C1:I1"/>
    <mergeCell ref="B15:C15"/>
    <mergeCell ref="Q2:R2"/>
    <mergeCell ref="O3:P3"/>
    <mergeCell ref="B11:C11"/>
    <mergeCell ref="B12:C12"/>
    <mergeCell ref="B13:C13"/>
    <mergeCell ref="B14:C14"/>
    <mergeCell ref="Q12:R12"/>
    <mergeCell ref="B25:C25"/>
    <mergeCell ref="B16:C16"/>
    <mergeCell ref="B17:C17"/>
    <mergeCell ref="B18:C18"/>
    <mergeCell ref="B19:C19"/>
    <mergeCell ref="B20:C20"/>
  </mergeCells>
  <dataValidations count="18">
    <dataValidation type="list" allowBlank="1" showInputMessage="1" showErrorMessage="1" sqref="C37:C38">
      <formula1>$AE$3:$AE$4</formula1>
    </dataValidation>
    <dataValidation type="list" showInputMessage="1" showErrorMessage="1" sqref="B14:C14">
      <formula1>$AB$3:$AB$4</formula1>
    </dataValidation>
    <dataValidation type="list" showInputMessage="1" showErrorMessage="1" sqref="B17:C17">
      <formula1>$Y$3:$Y$5</formula1>
    </dataValidation>
    <dataValidation type="list" allowBlank="1" showInputMessage="1" showErrorMessage="1" sqref="B29:C29">
      <formula1>$AD$3:$AD$5</formula1>
    </dataValidation>
    <dataValidation type="list" showInputMessage="1" showErrorMessage="1" sqref="B5">
      <formula1>T3:T6</formula1>
    </dataValidation>
    <dataValidation type="list" showInputMessage="1" showErrorMessage="1" sqref="B15:C15">
      <formula1>$V$3:$V$5</formula1>
    </dataValidation>
    <dataValidation type="list" showInputMessage="1" showErrorMessage="1" sqref="B16:C16">
      <formula1>$U$3:$U$4</formula1>
    </dataValidation>
    <dataValidation type="list" allowBlank="1" showInputMessage="1" showErrorMessage="1" sqref="B20:C20">
      <formula1>$V$3:$V$6</formula1>
    </dataValidation>
    <dataValidation type="list" allowBlank="1" showInputMessage="1" showErrorMessage="1" sqref="B25:C25">
      <formula1>$Z$3:$Z$6</formula1>
    </dataValidation>
    <dataValidation type="list" allowBlank="1" showInputMessage="1" showErrorMessage="1" sqref="B28:C28">
      <formula1>$AC$3:$AC$4</formula1>
    </dataValidation>
    <dataValidation type="list" allowBlank="1" showInputMessage="1" showErrorMessage="1" sqref="B27:C27">
      <formula1>$AA$3:$AA$5</formula1>
    </dataValidation>
    <dataValidation type="list" allowBlank="1" showInputMessage="1" showErrorMessage="1" sqref="B26:C26">
      <formula1>$AB$4:$AB$5</formula1>
    </dataValidation>
    <dataValidation type="list" allowBlank="1" showInputMessage="1" showErrorMessage="1" sqref="B21:B23">
      <formula1>$W$3:$W$11</formula1>
    </dataValidation>
    <dataValidation type="list" allowBlank="1" showInputMessage="1" showErrorMessage="1" sqref="B24:C24">
      <formula1>$Y$3:$Y$6</formula1>
    </dataValidation>
    <dataValidation type="list" showInputMessage="1" showErrorMessage="1" sqref="B35">
      <formula1>$T$9:$T$14</formula1>
    </dataValidation>
    <dataValidation type="list" showInputMessage="1" showErrorMessage="1" sqref="C4:C6">
      <formula1>$AE$3:$AE$4</formula1>
    </dataValidation>
    <dataValidation type="list" showInputMessage="1" showErrorMessage="1" sqref="J4:J6 J15 J20:J21">
      <formula1>$AF$3:$AF$4</formula1>
    </dataValidation>
    <dataValidation type="list" showInputMessage="1" showErrorMessage="1" sqref="B36:B38">
      <formula1>$AG$3:$AG$21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G43"/>
  <sheetViews>
    <sheetView workbookViewId="0"/>
  </sheetViews>
  <sheetFormatPr baseColWidth="10" defaultRowHeight="15.95" customHeight="1"/>
  <cols>
    <col min="1" max="1" width="47.140625" style="8" customWidth="1"/>
    <col min="2" max="2" width="20.5703125" style="8" customWidth="1"/>
    <col min="3" max="10" width="8.7109375" style="8" customWidth="1"/>
    <col min="11" max="16" width="8.7109375" style="8" hidden="1" customWidth="1"/>
    <col min="17" max="17" width="23" style="6" customWidth="1"/>
    <col min="18" max="18" width="22.7109375" style="6" customWidth="1"/>
    <col min="19" max="19" width="16" style="6" hidden="1" customWidth="1"/>
    <col min="20" max="21" width="10.42578125" style="7" hidden="1" customWidth="1"/>
    <col min="22" max="22" width="8.5703125" style="7" hidden="1" customWidth="1"/>
    <col min="23" max="23" width="12.140625" style="7" hidden="1" customWidth="1"/>
    <col min="24" max="24" width="11.42578125" style="7" hidden="1" customWidth="1"/>
    <col min="25" max="25" width="7.28515625" style="7" hidden="1" customWidth="1"/>
    <col min="26" max="26" width="9.28515625" style="7" hidden="1" customWidth="1"/>
    <col min="27" max="27" width="19.28515625" style="7" hidden="1" customWidth="1"/>
    <col min="28" max="30" width="11.42578125" style="8" hidden="1" customWidth="1"/>
    <col min="31" max="31" width="3.85546875" style="8" hidden="1" customWidth="1"/>
    <col min="32" max="32" width="3.42578125" style="8" hidden="1" customWidth="1"/>
    <col min="33" max="33" width="11.42578125" style="8" hidden="1" customWidth="1"/>
    <col min="34" max="16384" width="11.42578125" style="8"/>
  </cols>
  <sheetData>
    <row r="1" spans="1:33" ht="15.95" customHeight="1" thickBot="1">
      <c r="A1" s="1" t="s">
        <v>82</v>
      </c>
      <c r="B1" s="3"/>
      <c r="C1" s="139" t="s">
        <v>87</v>
      </c>
      <c r="D1" s="139"/>
      <c r="E1" s="139"/>
      <c r="F1" s="139"/>
      <c r="G1" s="139"/>
      <c r="H1" s="139"/>
      <c r="I1" s="140"/>
      <c r="J1" s="3"/>
      <c r="K1" s="3"/>
      <c r="L1" s="3"/>
      <c r="M1" s="3"/>
      <c r="N1" s="3"/>
      <c r="O1" s="3"/>
      <c r="P1" s="3"/>
      <c r="Q1" s="4"/>
      <c r="R1" s="5"/>
    </row>
    <row r="2" spans="1:33" ht="15.95" customHeight="1" thickBot="1">
      <c r="A2" s="9"/>
      <c r="B2" s="10"/>
      <c r="C2" s="10"/>
      <c r="D2" s="10"/>
      <c r="E2" s="10"/>
      <c r="F2" s="10"/>
      <c r="G2" s="10"/>
      <c r="H2" s="10"/>
      <c r="Q2" s="143" t="str">
        <f>IF(I38="Fehler vorhanden","Fehlermeldungen","")</f>
        <v>Fehlermeldungen</v>
      </c>
      <c r="R2" s="144"/>
    </row>
    <row r="3" spans="1:33" s="23" customFormat="1" ht="15.95" customHeight="1" thickBot="1">
      <c r="A3" s="11" t="s">
        <v>3</v>
      </c>
      <c r="B3" s="39"/>
      <c r="C3" s="11" t="s">
        <v>4</v>
      </c>
      <c r="D3" s="13" t="s">
        <v>5</v>
      </c>
      <c r="E3" s="14" t="s">
        <v>59</v>
      </c>
      <c r="F3" s="11" t="s">
        <v>60</v>
      </c>
      <c r="G3" s="11" t="s">
        <v>61</v>
      </c>
      <c r="H3" s="135" t="s">
        <v>61</v>
      </c>
      <c r="I3" s="14" t="s">
        <v>0</v>
      </c>
      <c r="J3" s="11" t="s">
        <v>62</v>
      </c>
      <c r="K3" s="15" t="s">
        <v>75</v>
      </c>
      <c r="L3" s="15" t="s">
        <v>77</v>
      </c>
      <c r="M3" s="16" t="s">
        <v>1</v>
      </c>
      <c r="N3" s="16" t="s">
        <v>2</v>
      </c>
      <c r="O3" s="145" t="s">
        <v>80</v>
      </c>
      <c r="P3" s="145"/>
      <c r="Q3" s="48"/>
      <c r="R3" s="18" t="str">
        <f>IF(COUNTIF(C4:C6,"EN")&lt;2,"mind. 2x EN wählen!","")</f>
        <v>mind. 2x EN wählen!</v>
      </c>
      <c r="S3" s="19" t="s">
        <v>83</v>
      </c>
      <c r="T3" s="20" t="s">
        <v>20</v>
      </c>
      <c r="U3" s="7" t="s">
        <v>23</v>
      </c>
      <c r="V3" s="7" t="s">
        <v>25</v>
      </c>
      <c r="W3" s="20" t="s">
        <v>20</v>
      </c>
      <c r="X3" s="7" t="s">
        <v>30</v>
      </c>
      <c r="Y3" s="7" t="s">
        <v>33</v>
      </c>
      <c r="Z3" s="7" t="s">
        <v>35</v>
      </c>
      <c r="AA3" s="7" t="s">
        <v>32</v>
      </c>
      <c r="AB3" s="21" t="s">
        <v>9</v>
      </c>
      <c r="AC3" s="7" t="s">
        <v>39</v>
      </c>
      <c r="AD3" s="22" t="s">
        <v>9</v>
      </c>
      <c r="AE3" s="7" t="s">
        <v>64</v>
      </c>
      <c r="AF3" s="23">
        <v>1</v>
      </c>
      <c r="AG3" s="24" t="s">
        <v>6</v>
      </c>
    </row>
    <row r="4" spans="1:33" s="23" customFormat="1" ht="15.95" customHeight="1" thickBot="1">
      <c r="A4" s="156" t="s">
        <v>81</v>
      </c>
      <c r="B4" s="25" t="s">
        <v>6</v>
      </c>
      <c r="C4" s="26" t="s">
        <v>66</v>
      </c>
      <c r="D4" s="27">
        <v>4</v>
      </c>
      <c r="E4" s="75"/>
      <c r="F4" s="67"/>
      <c r="G4" s="67"/>
      <c r="H4" s="68"/>
      <c r="I4" s="31">
        <f>SUM(E4:H4)</f>
        <v>0</v>
      </c>
      <c r="J4" s="67">
        <f>IF(AND(C4="EN",OR(B4=B$35,B4=B$36,B4=B$37)),2,1)</f>
        <v>1</v>
      </c>
      <c r="K4" s="32">
        <f>IF(OR(J4=1,J4=2),I4*J4,"")</f>
        <v>0</v>
      </c>
      <c r="L4" s="32">
        <f>COUNT(E4:H4)*J4</f>
        <v>0</v>
      </c>
      <c r="M4" s="33">
        <v>300</v>
      </c>
      <c r="N4" s="34">
        <v>4</v>
      </c>
      <c r="O4" s="33" t="str">
        <f t="shared" ref="O4:O32" si="0">IF(P5&lt;&gt;"","",IF($F$38&gt;=M4,N4,""))</f>
        <v/>
      </c>
      <c r="P4" s="33" t="str">
        <f t="shared" ref="P4:P32" si="1">O4&amp;""&amp;P5</f>
        <v/>
      </c>
      <c r="Q4" s="48" t="str">
        <f>IF(COUNTBLANK(E4:H4)&gt;0,"Alle 4 Noten eintragen!",IF(COUNTIF(E4:H4,0)&gt;0,"0 Punkte  =&gt; nicht best.!",""))</f>
        <v>Alle 4 Noten eintragen!</v>
      </c>
      <c r="R4" s="18" t="str">
        <f>IF(C4="Niveau?","Niveau wählen!","")</f>
        <v>Niveau wählen!</v>
      </c>
      <c r="S4" s="35" t="str">
        <f>IF(J4=2,IF(AND(OR(B4=B$35,B4=B$36,B4=B$37),C4="EN"),"ja","nein"),"")</f>
        <v/>
      </c>
      <c r="T4" s="7" t="s">
        <v>21</v>
      </c>
      <c r="U4" s="7" t="s">
        <v>24</v>
      </c>
      <c r="V4" s="7" t="s">
        <v>26</v>
      </c>
      <c r="W4" s="7" t="s">
        <v>21</v>
      </c>
      <c r="X4" s="7" t="s">
        <v>31</v>
      </c>
      <c r="Y4" s="7" t="s">
        <v>49</v>
      </c>
      <c r="Z4" s="7" t="s">
        <v>36</v>
      </c>
      <c r="AA4" s="7" t="s">
        <v>38</v>
      </c>
      <c r="AB4" s="7" t="s">
        <v>41</v>
      </c>
      <c r="AC4" s="7" t="s">
        <v>42</v>
      </c>
      <c r="AD4" s="22" t="s">
        <v>11</v>
      </c>
      <c r="AE4" s="7" t="s">
        <v>65</v>
      </c>
      <c r="AF4" s="23">
        <v>2</v>
      </c>
      <c r="AG4" s="7" t="s">
        <v>7</v>
      </c>
    </row>
    <row r="5" spans="1:33" s="23" customFormat="1" ht="15.95" customHeight="1" thickBot="1">
      <c r="A5" s="157"/>
      <c r="B5" s="127"/>
      <c r="C5" s="128"/>
      <c r="D5" s="129"/>
      <c r="E5" s="130"/>
      <c r="F5" s="130"/>
      <c r="G5" s="130"/>
      <c r="H5" s="130"/>
      <c r="I5" s="129"/>
      <c r="J5" s="131"/>
      <c r="K5" s="32"/>
      <c r="L5" s="32"/>
      <c r="M5" s="33"/>
      <c r="N5" s="37"/>
      <c r="O5" s="33"/>
      <c r="P5" s="33"/>
      <c r="Q5" s="48"/>
      <c r="R5" s="18"/>
      <c r="S5" s="35" t="str">
        <f t="shared" ref="S5:S6" si="2">IF(J5=2,IF(AND(OR(B5=B$35,B5=B$36,B5=B$37),C5="EN"),"ja","nein"),"")</f>
        <v/>
      </c>
      <c r="T5" s="24" t="s">
        <v>28</v>
      </c>
      <c r="U5" s="7"/>
      <c r="V5" s="7" t="s">
        <v>27</v>
      </c>
      <c r="W5" s="24" t="s">
        <v>28</v>
      </c>
      <c r="X5" s="7" t="s">
        <v>32</v>
      </c>
      <c r="Y5" s="7" t="s">
        <v>34</v>
      </c>
      <c r="Z5" s="7" t="s">
        <v>37</v>
      </c>
      <c r="AA5" s="7" t="s">
        <v>42</v>
      </c>
      <c r="AB5" s="7" t="s">
        <v>42</v>
      </c>
      <c r="AD5" s="22" t="s">
        <v>42</v>
      </c>
      <c r="AG5" s="20" t="s">
        <v>20</v>
      </c>
    </row>
    <row r="6" spans="1:33" s="23" customFormat="1" ht="15.95" customHeight="1" thickBot="1">
      <c r="A6" s="158"/>
      <c r="B6" s="25" t="s">
        <v>7</v>
      </c>
      <c r="C6" s="26" t="s">
        <v>66</v>
      </c>
      <c r="D6" s="27">
        <v>4</v>
      </c>
      <c r="E6" s="75"/>
      <c r="F6" s="67"/>
      <c r="G6" s="67"/>
      <c r="H6" s="68"/>
      <c r="I6" s="31">
        <f>SUM(E6:H6)</f>
        <v>0</v>
      </c>
      <c r="J6" s="67">
        <f>IF(AND(C6="EN",OR(B6=B$35,B6=B$36,B6=B$37)),2,1)</f>
        <v>1</v>
      </c>
      <c r="K6" s="32">
        <f>IF(OR(J6=1,J6=2),I6*J6,"")</f>
        <v>0</v>
      </c>
      <c r="L6" s="32">
        <f>COUNT(E6:H6)*J6</f>
        <v>0</v>
      </c>
      <c r="M6" s="33">
        <v>319</v>
      </c>
      <c r="N6" s="37">
        <v>3.8</v>
      </c>
      <c r="O6" s="33" t="str">
        <f t="shared" si="0"/>
        <v/>
      </c>
      <c r="P6" s="33" t="str">
        <f t="shared" si="1"/>
        <v/>
      </c>
      <c r="Q6" s="48" t="str">
        <f>IF(COUNTBLANK(E6:H6)&gt;0,"Alle 4 Noten eintragen!",IF(COUNTIF(E6:H6,0)&gt;0,"0 Punkte  =&gt; nicht best.!",""))</f>
        <v>Alle 4 Noten eintragen!</v>
      </c>
      <c r="R6" s="18" t="str">
        <f>IF(C6="Niveau?","Niveau wählen!","")</f>
        <v>Niveau wählen!</v>
      </c>
      <c r="S6" s="35" t="str">
        <f t="shared" si="2"/>
        <v/>
      </c>
      <c r="T6" s="7" t="s">
        <v>22</v>
      </c>
      <c r="U6" s="7"/>
      <c r="V6" s="7" t="s">
        <v>42</v>
      </c>
      <c r="W6" s="7" t="s">
        <v>22</v>
      </c>
      <c r="X6" s="7" t="s">
        <v>42</v>
      </c>
      <c r="Y6" s="7" t="s">
        <v>42</v>
      </c>
      <c r="Z6" s="7" t="s">
        <v>42</v>
      </c>
      <c r="AA6" s="7"/>
      <c r="AG6" s="7" t="s">
        <v>21</v>
      </c>
    </row>
    <row r="7" spans="1:33" s="23" customFormat="1" ht="15.95" customHeight="1" thickBot="1">
      <c r="A7" s="38" t="s">
        <v>8</v>
      </c>
      <c r="B7" s="148"/>
      <c r="C7" s="149"/>
      <c r="D7" s="40"/>
      <c r="E7" s="41"/>
      <c r="F7" s="42"/>
      <c r="G7" s="42"/>
      <c r="H7" s="43"/>
      <c r="I7" s="44"/>
      <c r="J7" s="42"/>
      <c r="K7" s="45"/>
      <c r="L7" s="45"/>
      <c r="M7" s="46">
        <v>337</v>
      </c>
      <c r="N7" s="47">
        <v>3.7</v>
      </c>
      <c r="O7" s="46" t="str">
        <f t="shared" si="0"/>
        <v/>
      </c>
      <c r="P7" s="46" t="str">
        <f t="shared" si="1"/>
        <v/>
      </c>
      <c r="Q7" s="137" t="str">
        <f>IF(COUNTIF(J4:J6,2)=0,"Faktor e. EN-Kern- u. schr. Pr.fachs muss 2 sein!",IF(AND(COUNTIF(J4:J6,2)=1,S7=1),"Faktor e. EN-Kern u. schr. Pr.fachs muss 2 sein!",IF(AND(COUNTIF(J4:J6,2)=2,S7=2),"Faktor e. EN-Kern u. schr. Pr.fachs muss 2 sein!",IF(AND(COUNTIF(J4:J6,2)=3,S7=3),"Faktor e. EN-Kern u. schr. Pr.fachs muss 2 sein!",""))))</f>
        <v>Faktor e. EN-Kern- u. schr. Pr.fachs muss 2 sein!</v>
      </c>
      <c r="R7" s="159"/>
      <c r="S7" s="49">
        <f>COUNTIF(S4:S6,"nein")</f>
        <v>0</v>
      </c>
      <c r="T7" s="24"/>
      <c r="U7" s="7"/>
      <c r="V7" s="7"/>
      <c r="W7" s="7" t="s">
        <v>29</v>
      </c>
      <c r="X7" s="7"/>
      <c r="Y7" s="7"/>
      <c r="Z7" s="7"/>
      <c r="AA7" s="7"/>
      <c r="AG7" s="24" t="s">
        <v>28</v>
      </c>
    </row>
    <row r="8" spans="1:33" s="23" customFormat="1" ht="15.95" customHeight="1" thickBot="1">
      <c r="A8" s="50" t="s">
        <v>44</v>
      </c>
      <c r="B8" s="53" t="s">
        <v>20</v>
      </c>
      <c r="C8" s="52" t="s">
        <v>64</v>
      </c>
      <c r="D8" s="27">
        <v>4</v>
      </c>
      <c r="E8" s="75"/>
      <c r="F8" s="67"/>
      <c r="G8" s="67"/>
      <c r="H8" s="68"/>
      <c r="I8" s="31">
        <f>SUM(E8:H8)</f>
        <v>0</v>
      </c>
      <c r="J8" s="113">
        <v>2</v>
      </c>
      <c r="K8" s="45">
        <f>IF(OR(J8=1,J8=2),I8*J8,"")</f>
        <v>0</v>
      </c>
      <c r="L8" s="45">
        <f>COUNT(E8:H8)*J8</f>
        <v>0</v>
      </c>
      <c r="M8" s="46">
        <v>355</v>
      </c>
      <c r="N8" s="47">
        <v>3.6</v>
      </c>
      <c r="O8" s="46" t="str">
        <f t="shared" si="0"/>
        <v/>
      </c>
      <c r="P8" s="46" t="str">
        <f t="shared" si="1"/>
        <v/>
      </c>
      <c r="Q8" s="48" t="str">
        <f>IF(OR(B8=B$36,B8=B$37,B8=B$38),IF(COUNTBLANK(E8:H8)&gt;0,"Alle 4 Noten eintragen!",""),"")</f>
        <v/>
      </c>
      <c r="R8" s="18" t="str">
        <f>IF(OR(B8=B$36,B8=B$37,B8=B$38),IF(COUNTIF(E8:H8,0)&gt;0,"0 Punkte  =&gt; nicht best.!",""),"")</f>
        <v/>
      </c>
      <c r="S8" s="49"/>
      <c r="T8" s="24"/>
      <c r="U8" s="7"/>
      <c r="V8" s="7"/>
      <c r="W8" s="7" t="s">
        <v>30</v>
      </c>
      <c r="X8" s="7"/>
      <c r="Y8" s="7"/>
      <c r="Z8" s="7"/>
      <c r="AA8" s="7"/>
      <c r="AG8" s="7" t="s">
        <v>22</v>
      </c>
    </row>
    <row r="9" spans="1:33" s="23" customFormat="1" ht="15.95" customHeight="1" thickBot="1">
      <c r="A9" s="50" t="s">
        <v>44</v>
      </c>
      <c r="B9" s="79" t="s">
        <v>90</v>
      </c>
      <c r="C9" s="52" t="s">
        <v>64</v>
      </c>
      <c r="D9" s="27">
        <v>4</v>
      </c>
      <c r="E9" s="75"/>
      <c r="F9" s="67"/>
      <c r="G9" s="67"/>
      <c r="H9" s="68"/>
      <c r="I9" s="31">
        <f>SUM(E9:H9)</f>
        <v>0</v>
      </c>
      <c r="J9" s="113">
        <f>IF(OR(D9=2,D9=4),1,"")</f>
        <v>1</v>
      </c>
      <c r="K9" s="45">
        <f>IF(OR(J9=1,J9=2),I9*J9,"")</f>
        <v>0</v>
      </c>
      <c r="L9" s="45">
        <f>COUNT(E9:H9)*J9</f>
        <v>0</v>
      </c>
      <c r="M9" s="46">
        <v>373</v>
      </c>
      <c r="N9" s="47">
        <v>3.5</v>
      </c>
      <c r="O9" s="46" t="str">
        <f t="shared" si="0"/>
        <v/>
      </c>
      <c r="P9" s="46" t="str">
        <f t="shared" si="1"/>
        <v/>
      </c>
      <c r="Q9" s="48" t="str">
        <f t="shared" ref="Q9:Q28" si="3">IF(OR(B9=B$36,B9=B$37,B9=B$38),IF(COUNTBLANK(E9:H9)&gt;0,"Alle 4 Noten eintragen!",""),"")</f>
        <v/>
      </c>
      <c r="R9" s="18" t="str">
        <f t="shared" ref="R9:R18" si="4">IF(OR(B9=B$36,B9=B$37,B9=B$38),IF(COUNTIF(E9:H9,0)&gt;0,"0 Punkte  =&gt; nicht best.!",""),"")</f>
        <v/>
      </c>
      <c r="S9" s="49"/>
      <c r="T9" s="24" t="s">
        <v>6</v>
      </c>
      <c r="U9" s="7"/>
      <c r="V9" s="7"/>
      <c r="W9" s="7" t="s">
        <v>31</v>
      </c>
      <c r="X9" s="7"/>
      <c r="Y9" s="7"/>
      <c r="Z9" s="7"/>
      <c r="AA9" s="7"/>
      <c r="AG9" s="7" t="s">
        <v>25</v>
      </c>
    </row>
    <row r="10" spans="1:33" s="23" customFormat="1" ht="15.95" customHeight="1" thickBot="1">
      <c r="A10" s="50" t="s">
        <v>45</v>
      </c>
      <c r="B10" s="146" t="s">
        <v>91</v>
      </c>
      <c r="C10" s="147"/>
      <c r="D10" s="27">
        <v>2</v>
      </c>
      <c r="E10" s="75"/>
      <c r="F10" s="67"/>
      <c r="G10" s="67"/>
      <c r="H10" s="68"/>
      <c r="I10" s="31">
        <f>IF(D10="","",SUM(E10:H10))</f>
        <v>0</v>
      </c>
      <c r="J10" s="52">
        <f>IF(D10=2,1,"")</f>
        <v>1</v>
      </c>
      <c r="K10" s="45">
        <f>IF(OR(J10=1,J10=2),I10*J10,"")</f>
        <v>0</v>
      </c>
      <c r="L10" s="45">
        <f>COUNT(E10:H10)*J10</f>
        <v>0</v>
      </c>
      <c r="M10" s="46">
        <v>391</v>
      </c>
      <c r="N10" s="47">
        <v>3.4</v>
      </c>
      <c r="O10" s="46" t="str">
        <f t="shared" si="0"/>
        <v/>
      </c>
      <c r="P10" s="46" t="str">
        <f t="shared" si="1"/>
        <v/>
      </c>
      <c r="Q10" s="48" t="str">
        <f t="shared" si="3"/>
        <v/>
      </c>
      <c r="R10" s="18" t="str">
        <f t="shared" si="4"/>
        <v/>
      </c>
      <c r="S10" s="49"/>
      <c r="T10" s="7" t="s">
        <v>7</v>
      </c>
      <c r="U10" s="7"/>
      <c r="V10" s="7"/>
      <c r="W10" s="7" t="s">
        <v>32</v>
      </c>
      <c r="X10" s="7"/>
      <c r="Y10" s="7"/>
      <c r="Z10" s="7"/>
      <c r="AA10" s="7"/>
      <c r="AG10" s="7" t="s">
        <v>26</v>
      </c>
    </row>
    <row r="11" spans="1:33" s="23" customFormat="1" ht="15.95" customHeight="1" thickBot="1">
      <c r="A11" s="50" t="s">
        <v>12</v>
      </c>
      <c r="B11" s="146" t="s">
        <v>12</v>
      </c>
      <c r="C11" s="147"/>
      <c r="D11" s="27">
        <v>2</v>
      </c>
      <c r="E11" s="75"/>
      <c r="F11" s="67"/>
      <c r="G11" s="67"/>
      <c r="H11" s="68"/>
      <c r="I11" s="31">
        <f>IF(D11="","",SUM(E11:H11))</f>
        <v>0</v>
      </c>
      <c r="J11" s="52">
        <f>IF(D11=2,1,"")</f>
        <v>1</v>
      </c>
      <c r="K11" s="45">
        <f>IF(OR(J11=1,J11=2),I11*J11,"")</f>
        <v>0</v>
      </c>
      <c r="L11" s="45">
        <f>COUNT(E11:H11)*J11</f>
        <v>0</v>
      </c>
      <c r="M11" s="46">
        <v>409</v>
      </c>
      <c r="N11" s="47">
        <v>3.3</v>
      </c>
      <c r="O11" s="46" t="str">
        <f t="shared" si="0"/>
        <v/>
      </c>
      <c r="P11" s="46" t="str">
        <f t="shared" si="1"/>
        <v/>
      </c>
      <c r="Q11" s="48" t="str">
        <f t="shared" si="3"/>
        <v/>
      </c>
      <c r="R11" s="18" t="str">
        <f t="shared" si="4"/>
        <v/>
      </c>
      <c r="S11" s="49"/>
      <c r="T11" s="20" t="s">
        <v>20</v>
      </c>
      <c r="U11" s="7"/>
      <c r="V11" s="7"/>
      <c r="W11" s="7" t="s">
        <v>42</v>
      </c>
      <c r="X11" s="7"/>
      <c r="Y11" s="7"/>
      <c r="Z11" s="7"/>
      <c r="AA11" s="7"/>
      <c r="AG11" s="7" t="s">
        <v>27</v>
      </c>
    </row>
    <row r="12" spans="1:33" s="23" customFormat="1" ht="15.95" customHeight="1" thickBot="1">
      <c r="A12" s="38" t="s">
        <v>13</v>
      </c>
      <c r="B12" s="148"/>
      <c r="C12" s="149"/>
      <c r="D12" s="40"/>
      <c r="E12" s="41"/>
      <c r="F12" s="42"/>
      <c r="G12" s="42"/>
      <c r="H12" s="43"/>
      <c r="I12" s="44"/>
      <c r="J12" s="42"/>
      <c r="K12" s="45"/>
      <c r="L12" s="45"/>
      <c r="M12" s="46">
        <v>427</v>
      </c>
      <c r="N12" s="47">
        <v>3.2</v>
      </c>
      <c r="O12" s="46" t="str">
        <f t="shared" si="0"/>
        <v/>
      </c>
      <c r="P12" s="46" t="str">
        <f t="shared" si="1"/>
        <v/>
      </c>
      <c r="Q12" s="137"/>
      <c r="R12" s="154"/>
      <c r="S12" s="49"/>
      <c r="T12" s="7" t="s">
        <v>21</v>
      </c>
      <c r="U12" s="7"/>
      <c r="V12" s="7"/>
      <c r="W12" s="7"/>
      <c r="X12" s="7"/>
      <c r="Y12" s="7"/>
      <c r="Z12" s="7"/>
      <c r="AA12" s="7"/>
      <c r="AG12" s="21" t="s">
        <v>90</v>
      </c>
    </row>
    <row r="13" spans="1:33" s="60" customFormat="1" ht="15.95" customHeight="1" thickBot="1">
      <c r="A13" s="50" t="s">
        <v>92</v>
      </c>
      <c r="B13" s="150" t="s">
        <v>93</v>
      </c>
      <c r="C13" s="151"/>
      <c r="D13" s="55">
        <v>1</v>
      </c>
      <c r="E13" s="56"/>
      <c r="F13" s="57"/>
      <c r="G13" s="133"/>
      <c r="H13" s="134"/>
      <c r="I13" s="31">
        <f>IF(D13="","",SUM(E13:H13))</f>
        <v>0</v>
      </c>
      <c r="J13" s="52">
        <v>1</v>
      </c>
      <c r="K13" s="45"/>
      <c r="L13" s="45"/>
      <c r="M13" s="46"/>
      <c r="N13" s="47"/>
      <c r="O13" s="46"/>
      <c r="P13" s="46"/>
      <c r="Q13" s="48"/>
      <c r="R13" s="18"/>
      <c r="S13" s="59"/>
      <c r="T13" s="24" t="s">
        <v>28</v>
      </c>
      <c r="U13" s="7"/>
      <c r="V13" s="7"/>
      <c r="W13" s="7"/>
      <c r="X13" s="7"/>
      <c r="Y13" s="7"/>
      <c r="Z13" s="7"/>
      <c r="AA13" s="7"/>
      <c r="AG13" s="7" t="s">
        <v>91</v>
      </c>
    </row>
    <row r="14" spans="1:33" s="60" customFormat="1" ht="15.95" hidden="1" customHeight="1" thickBot="1">
      <c r="A14" s="61"/>
      <c r="B14" s="152"/>
      <c r="C14" s="153"/>
      <c r="D14" s="63"/>
      <c r="E14" s="56"/>
      <c r="F14" s="57"/>
      <c r="G14" s="57"/>
      <c r="H14" s="58"/>
      <c r="I14" s="31"/>
      <c r="J14" s="52"/>
      <c r="K14" s="45"/>
      <c r="L14" s="45"/>
      <c r="M14" s="46"/>
      <c r="N14" s="64"/>
      <c r="O14" s="46"/>
      <c r="P14" s="46"/>
      <c r="Q14" s="48"/>
      <c r="R14" s="18"/>
      <c r="S14" s="59"/>
      <c r="T14" s="7" t="s">
        <v>22</v>
      </c>
      <c r="U14" s="7"/>
      <c r="V14" s="7"/>
      <c r="W14" s="7"/>
      <c r="X14" s="7"/>
      <c r="Y14" s="7"/>
      <c r="Z14" s="7"/>
      <c r="AA14" s="7"/>
      <c r="AG14" s="22" t="s">
        <v>11</v>
      </c>
    </row>
    <row r="15" spans="1:33" s="23" customFormat="1" ht="15.95" customHeight="1" thickBot="1">
      <c r="A15" s="50" t="s">
        <v>47</v>
      </c>
      <c r="B15" s="141" t="s">
        <v>40</v>
      </c>
      <c r="C15" s="142"/>
      <c r="D15" s="27">
        <v>4</v>
      </c>
      <c r="E15" s="75"/>
      <c r="F15" s="67"/>
      <c r="G15" s="67"/>
      <c r="H15" s="68"/>
      <c r="I15" s="31">
        <f t="shared" ref="I15:I18" si="5">IF(D15="","",SUM(E15:H15))</f>
        <v>0</v>
      </c>
      <c r="J15" s="67">
        <f>IF(D15=4,1,"")</f>
        <v>1</v>
      </c>
      <c r="K15" s="45">
        <f t="shared" ref="K15:K18" si="6">IF(OR(J15=1,J15=2),I15*J15,"")</f>
        <v>0</v>
      </c>
      <c r="L15" s="45" t="str">
        <f t="shared" ref="L15:L18" si="7">IF(COUNT(E15:H15)=0,"",COUNT(E15:H15)*J15)</f>
        <v/>
      </c>
      <c r="M15" s="46">
        <v>481</v>
      </c>
      <c r="N15" s="47">
        <v>2.9</v>
      </c>
      <c r="O15" s="46" t="str">
        <f t="shared" si="0"/>
        <v/>
      </c>
      <c r="P15" s="46" t="str">
        <f t="shared" si="1"/>
        <v/>
      </c>
      <c r="Q15" s="48" t="str">
        <f t="shared" si="3"/>
        <v/>
      </c>
      <c r="R15" s="18" t="str">
        <f t="shared" si="4"/>
        <v/>
      </c>
      <c r="S15" s="49"/>
      <c r="U15" s="7"/>
      <c r="V15" s="7"/>
      <c r="W15" s="7"/>
      <c r="X15" s="7"/>
      <c r="Y15" s="7"/>
      <c r="Z15" s="7"/>
      <c r="AA15" s="7"/>
      <c r="AG15" s="7" t="s">
        <v>23</v>
      </c>
    </row>
    <row r="16" spans="1:33" s="23" customFormat="1" ht="15.95" customHeight="1" thickBot="1">
      <c r="A16" s="50" t="s">
        <v>48</v>
      </c>
      <c r="B16" s="141" t="s">
        <v>40</v>
      </c>
      <c r="C16" s="142"/>
      <c r="D16" s="27">
        <v>2</v>
      </c>
      <c r="E16" s="75"/>
      <c r="F16" s="67"/>
      <c r="G16" s="67"/>
      <c r="H16" s="68"/>
      <c r="I16" s="31">
        <f t="shared" si="5"/>
        <v>0</v>
      </c>
      <c r="J16" s="52">
        <f>IF(D16=2,1,"")</f>
        <v>1</v>
      </c>
      <c r="K16" s="45">
        <f t="shared" si="6"/>
        <v>0</v>
      </c>
      <c r="L16" s="45" t="str">
        <f t="shared" si="7"/>
        <v/>
      </c>
      <c r="M16" s="46">
        <v>499</v>
      </c>
      <c r="N16" s="47">
        <v>2.8</v>
      </c>
      <c r="O16" s="46" t="str">
        <f t="shared" si="0"/>
        <v/>
      </c>
      <c r="P16" s="46" t="str">
        <f t="shared" si="1"/>
        <v/>
      </c>
      <c r="Q16" s="48" t="str">
        <f t="shared" si="3"/>
        <v/>
      </c>
      <c r="R16" s="18" t="str">
        <f t="shared" si="4"/>
        <v/>
      </c>
      <c r="S16" s="49"/>
      <c r="T16" s="7"/>
      <c r="U16" s="7"/>
      <c r="V16" s="7"/>
      <c r="W16" s="7"/>
      <c r="X16" s="7"/>
      <c r="Y16" s="7"/>
      <c r="Z16" s="7"/>
      <c r="AA16" s="7"/>
      <c r="AG16" s="7" t="s">
        <v>24</v>
      </c>
    </row>
    <row r="17" spans="1:33" s="23" customFormat="1" ht="15.95" customHeight="1" thickBot="1">
      <c r="A17" s="50" t="s">
        <v>46</v>
      </c>
      <c r="B17" s="141" t="s">
        <v>40</v>
      </c>
      <c r="C17" s="142"/>
      <c r="D17" s="27">
        <v>2</v>
      </c>
      <c r="E17" s="75"/>
      <c r="F17" s="67"/>
      <c r="G17" s="67"/>
      <c r="H17" s="68"/>
      <c r="I17" s="31">
        <f t="shared" si="5"/>
        <v>0</v>
      </c>
      <c r="J17" s="52">
        <f>IF(D17=2,1,"")</f>
        <v>1</v>
      </c>
      <c r="K17" s="45">
        <f t="shared" si="6"/>
        <v>0</v>
      </c>
      <c r="L17" s="45" t="str">
        <f t="shared" si="7"/>
        <v/>
      </c>
      <c r="M17" s="46">
        <v>517</v>
      </c>
      <c r="N17" s="47">
        <v>2.7</v>
      </c>
      <c r="O17" s="46" t="str">
        <f t="shared" si="0"/>
        <v/>
      </c>
      <c r="P17" s="46" t="str">
        <f t="shared" si="1"/>
        <v/>
      </c>
      <c r="Q17" s="48" t="str">
        <f t="shared" si="3"/>
        <v/>
      </c>
      <c r="R17" s="18" t="str">
        <f t="shared" si="4"/>
        <v/>
      </c>
      <c r="S17" s="49"/>
      <c r="U17" s="7"/>
      <c r="V17" s="7"/>
      <c r="W17" s="7"/>
      <c r="X17" s="7"/>
      <c r="Y17" s="7"/>
      <c r="Z17" s="7"/>
      <c r="AA17" s="7"/>
      <c r="AG17" s="7" t="s">
        <v>33</v>
      </c>
    </row>
    <row r="18" spans="1:33" s="23" customFormat="1" ht="15.95" customHeight="1" thickBot="1">
      <c r="A18" s="50" t="s">
        <v>14</v>
      </c>
      <c r="B18" s="146" t="s">
        <v>14</v>
      </c>
      <c r="C18" s="155"/>
      <c r="D18" s="27">
        <v>2</v>
      </c>
      <c r="E18" s="75"/>
      <c r="F18" s="67"/>
      <c r="G18" s="67"/>
      <c r="H18" s="68"/>
      <c r="I18" s="31">
        <f t="shared" si="5"/>
        <v>0</v>
      </c>
      <c r="J18" s="52">
        <f>IF(D18=2,1,"")</f>
        <v>1</v>
      </c>
      <c r="K18" s="45">
        <f t="shared" si="6"/>
        <v>0</v>
      </c>
      <c r="L18" s="45" t="str">
        <f t="shared" si="7"/>
        <v/>
      </c>
      <c r="M18" s="46">
        <v>535</v>
      </c>
      <c r="N18" s="47">
        <v>2.6</v>
      </c>
      <c r="O18" s="46" t="str">
        <f t="shared" si="0"/>
        <v/>
      </c>
      <c r="P18" s="46" t="str">
        <f t="shared" si="1"/>
        <v/>
      </c>
      <c r="Q18" s="48" t="str">
        <f t="shared" si="3"/>
        <v/>
      </c>
      <c r="R18" s="18" t="str">
        <f t="shared" si="4"/>
        <v/>
      </c>
      <c r="S18" s="49"/>
      <c r="U18" s="7"/>
      <c r="V18" s="7"/>
      <c r="W18" s="7"/>
      <c r="X18" s="7"/>
      <c r="Y18" s="7"/>
      <c r="Z18" s="7"/>
      <c r="AA18" s="7"/>
      <c r="AG18" s="7" t="s">
        <v>49</v>
      </c>
    </row>
    <row r="19" spans="1:33" s="23" customFormat="1" ht="15.95" customHeight="1" thickBot="1">
      <c r="A19" s="38" t="s">
        <v>15</v>
      </c>
      <c r="B19" s="148"/>
      <c r="C19" s="149"/>
      <c r="D19" s="40"/>
      <c r="E19" s="41"/>
      <c r="F19" s="42"/>
      <c r="G19" s="42"/>
      <c r="H19" s="43"/>
      <c r="I19" s="44"/>
      <c r="J19" s="42"/>
      <c r="K19" s="45"/>
      <c r="L19" s="45"/>
      <c r="M19" s="46">
        <v>553</v>
      </c>
      <c r="N19" s="47">
        <v>2.5</v>
      </c>
      <c r="O19" s="46" t="str">
        <f t="shared" si="0"/>
        <v/>
      </c>
      <c r="P19" s="46" t="str">
        <f t="shared" si="1"/>
        <v/>
      </c>
      <c r="Q19" s="48" t="str">
        <f>IF(OR(B13="Auswahlliste!",B14="Auswahlliste!",B15="Auswahlliste!",B16="Auswahlliste!",B17="Auswahlliste!"),"Wahlpfl.fächer wählen!","")</f>
        <v>Wahlpfl.fächer wählen!</v>
      </c>
      <c r="R19" s="18"/>
      <c r="S19" s="49"/>
      <c r="U19" s="7"/>
      <c r="V19" s="7"/>
      <c r="W19" s="7"/>
      <c r="X19" s="7"/>
      <c r="Y19" s="7"/>
      <c r="Z19" s="7"/>
      <c r="AA19" s="7"/>
      <c r="AG19" s="7" t="s">
        <v>34</v>
      </c>
    </row>
    <row r="20" spans="1:33" s="23" customFormat="1" ht="15.95" customHeight="1" thickBot="1">
      <c r="A20" s="50" t="s">
        <v>56</v>
      </c>
      <c r="B20" s="141" t="s">
        <v>42</v>
      </c>
      <c r="C20" s="142"/>
      <c r="D20" s="27" t="str">
        <f>IF(OR(B20=V3,B20=V4,B20=V5),4,"")</f>
        <v/>
      </c>
      <c r="E20" s="75"/>
      <c r="F20" s="67"/>
      <c r="G20" s="67"/>
      <c r="H20" s="68"/>
      <c r="I20" s="31" t="str">
        <f>IF(D20="","",SUM(E20:H20))</f>
        <v/>
      </c>
      <c r="J20" s="136" t="str">
        <f>IF(D20=4,1,"")</f>
        <v/>
      </c>
      <c r="K20" s="45" t="str">
        <f t="shared" ref="K20:K28" si="8">IF(OR(J20=1,J20=2),I20*J20,"")</f>
        <v/>
      </c>
      <c r="L20" s="45" t="str">
        <f t="shared" ref="L20:L28" si="9">IF(COUNT(E20:H20)=0,"",COUNT(E20:H20)*J20)</f>
        <v/>
      </c>
      <c r="M20" s="46">
        <v>571</v>
      </c>
      <c r="N20" s="47">
        <v>2.4</v>
      </c>
      <c r="O20" s="46" t="str">
        <f t="shared" si="0"/>
        <v/>
      </c>
      <c r="P20" s="46" t="str">
        <f t="shared" si="1"/>
        <v/>
      </c>
      <c r="Q20" s="48" t="str">
        <f t="shared" si="3"/>
        <v/>
      </c>
      <c r="R20" s="18" t="str">
        <f t="shared" ref="R20:R27" si="10">IF(AND(COUNTBLANK(E20:H20)&lt;4,D20=""),"Fach auswählen!",IF(OR(B20=B$36,B20=B$37,B20=B$38),IF(COUNTIF(E20:H20,0)&gt;0,"0 Punkte  =&gt; nicht best.!",""),""))</f>
        <v/>
      </c>
      <c r="S20" s="49"/>
      <c r="U20" s="7"/>
      <c r="V20" s="7"/>
      <c r="W20" s="7"/>
      <c r="X20" s="7"/>
      <c r="Y20" s="7"/>
      <c r="Z20" s="7"/>
      <c r="AA20" s="7"/>
      <c r="AG20" s="21" t="s">
        <v>39</v>
      </c>
    </row>
    <row r="21" spans="1:33" s="23" customFormat="1" ht="15.95" customHeight="1" thickBot="1">
      <c r="A21" s="65" t="s">
        <v>55</v>
      </c>
      <c r="B21" s="160" t="s">
        <v>42</v>
      </c>
      <c r="C21" s="161"/>
      <c r="D21" s="66" t="str">
        <f>IF(OR(B21=W3,B21=W4,B21=W5,B21=W6),4,"")</f>
        <v/>
      </c>
      <c r="E21" s="166"/>
      <c r="F21" s="169"/>
      <c r="G21" s="169"/>
      <c r="H21" s="170"/>
      <c r="I21" s="69" t="str">
        <f>IF(D21="","",SUM(E21:H21))</f>
        <v/>
      </c>
      <c r="J21" s="70" t="str">
        <f>IF(D21=4,1,"")</f>
        <v/>
      </c>
      <c r="K21" s="45" t="str">
        <f t="shared" si="8"/>
        <v/>
      </c>
      <c r="L21" s="45" t="str">
        <f t="shared" si="9"/>
        <v/>
      </c>
      <c r="M21" s="46">
        <v>589</v>
      </c>
      <c r="N21" s="47">
        <v>2.2999999999999998</v>
      </c>
      <c r="O21" s="46" t="str">
        <f t="shared" si="0"/>
        <v/>
      </c>
      <c r="P21" s="46" t="str">
        <f t="shared" si="1"/>
        <v/>
      </c>
      <c r="Q21" s="48" t="str">
        <f t="shared" si="3"/>
        <v/>
      </c>
      <c r="R21" s="18" t="str">
        <f>IF(AND(COUNTBLANK(E21:H21)&lt;4,D21=""),"Fach auswählen!",IF(OR(B21=B$36,B21=B$37,B21=B$38),IF(COUNTIF(E21:H21,0)&gt;0,"0 Punkte  =&gt; nicht best.!",""),""))</f>
        <v/>
      </c>
      <c r="S21" s="49"/>
      <c r="U21" s="7"/>
      <c r="V21" s="7"/>
      <c r="W21" s="7"/>
      <c r="X21" s="7"/>
      <c r="Y21" s="7"/>
      <c r="Z21" s="7"/>
      <c r="AA21" s="7"/>
      <c r="AG21" s="7" t="s">
        <v>14</v>
      </c>
    </row>
    <row r="22" spans="1:33" s="23" customFormat="1" ht="15.95" customHeight="1" thickBot="1">
      <c r="A22" s="65" t="s">
        <v>16</v>
      </c>
      <c r="B22" s="162"/>
      <c r="C22" s="163"/>
      <c r="D22" s="71" t="str">
        <f>IF(B21=W7,2,"")</f>
        <v/>
      </c>
      <c r="E22" s="167"/>
      <c r="F22" s="169"/>
      <c r="G22" s="169"/>
      <c r="H22" s="170"/>
      <c r="I22" s="72" t="str">
        <f>IF(D22="","",SUM(E22:H22))</f>
        <v/>
      </c>
      <c r="J22" s="73" t="str">
        <f t="shared" ref="J22:J29" si="11">IF(D22=2,1,"")</f>
        <v/>
      </c>
      <c r="K22" s="45" t="str">
        <f t="shared" si="8"/>
        <v/>
      </c>
      <c r="L22" s="45" t="str">
        <f t="shared" si="9"/>
        <v/>
      </c>
      <c r="M22" s="46">
        <v>607</v>
      </c>
      <c r="N22" s="47">
        <v>2.2000000000000002</v>
      </c>
      <c r="O22" s="46" t="str">
        <f t="shared" si="0"/>
        <v/>
      </c>
      <c r="P22" s="46" t="str">
        <f t="shared" si="1"/>
        <v/>
      </c>
      <c r="Q22" s="48" t="str">
        <f>IF(OR(B21=B$36,B21=B$37,B21=B$38),IF(COUNTBLANK(E21:H21)&gt;0,"Alle 4 Noten eintragen!",""),"")</f>
        <v/>
      </c>
      <c r="R22" s="18" t="str">
        <f>IF(AND(COUNTBLANK(E21:H21)&lt;4,D22=""),"Fach auswählen!",IF(OR(B22=B$36,B22=B$37,B22=B$38),IF(COUNTIF(E22:H22,0)&gt;0,"0 Punkte  =&gt; nicht best.!",""),""))</f>
        <v/>
      </c>
      <c r="S22" s="49"/>
      <c r="U22" s="7"/>
      <c r="V22" s="7"/>
      <c r="W22" s="7"/>
      <c r="X22" s="7"/>
      <c r="Y22" s="7"/>
      <c r="Z22" s="7"/>
      <c r="AA22" s="7"/>
      <c r="AG22" s="7"/>
    </row>
    <row r="23" spans="1:33" s="23" customFormat="1" ht="15.95" customHeight="1" thickBot="1">
      <c r="A23" s="50" t="s">
        <v>43</v>
      </c>
      <c r="B23" s="164"/>
      <c r="C23" s="165"/>
      <c r="D23" s="74" t="str">
        <f>IF(OR(B21=W8,B21=W9,B21=W10),2,"")</f>
        <v/>
      </c>
      <c r="E23" s="168"/>
      <c r="F23" s="169"/>
      <c r="G23" s="169"/>
      <c r="H23" s="170"/>
      <c r="I23" s="76" t="str">
        <f>IF(D23="","",SUM(E23:H23))</f>
        <v/>
      </c>
      <c r="J23" s="77" t="str">
        <f t="shared" si="11"/>
        <v/>
      </c>
      <c r="K23" s="45" t="str">
        <f t="shared" si="8"/>
        <v/>
      </c>
      <c r="L23" s="45" t="str">
        <f t="shared" si="9"/>
        <v/>
      </c>
      <c r="M23" s="46">
        <v>625</v>
      </c>
      <c r="N23" s="47">
        <v>2.1</v>
      </c>
      <c r="O23" s="46" t="str">
        <f t="shared" si="0"/>
        <v/>
      </c>
      <c r="P23" s="46" t="str">
        <f t="shared" si="1"/>
        <v/>
      </c>
      <c r="Q23" s="48" t="str">
        <f>IF(OR(B21=B$36,B21=B$37,B21=B$38),IF(COUNTBLANK(E21:H21)&gt;0,"Alle 4 Noten eintragen!",""),"")</f>
        <v/>
      </c>
      <c r="R23" s="18" t="str">
        <f>IF(AND(COUNTBLANK(E21:H21)&lt;4,D23=""),"Fach auswählen!",IF(OR(B23=B$36,B23=B$37,B23=B$38),IF(COUNTIF(E23:H23,0)&gt;0,"0 Punkte  =&gt; nicht best.!",""),""))</f>
        <v/>
      </c>
      <c r="S23" s="49"/>
      <c r="T23" s="7"/>
      <c r="U23" s="7"/>
      <c r="V23" s="7"/>
      <c r="W23" s="7"/>
      <c r="X23" s="7"/>
      <c r="Y23" s="7"/>
      <c r="Z23" s="7"/>
      <c r="AA23" s="7"/>
      <c r="AG23" s="7"/>
    </row>
    <row r="24" spans="1:33" s="23" customFormat="1" ht="15.95" customHeight="1" thickBot="1">
      <c r="A24" s="50" t="s">
        <v>46</v>
      </c>
      <c r="B24" s="141" t="s">
        <v>42</v>
      </c>
      <c r="C24" s="142"/>
      <c r="D24" s="27" t="str">
        <f>IF(OR(B24=Y3,B24=Y4,B24=Y5),2,"")</f>
        <v/>
      </c>
      <c r="E24" s="75"/>
      <c r="F24" s="67"/>
      <c r="G24" s="67"/>
      <c r="H24" s="68"/>
      <c r="I24" s="31" t="str">
        <f>IF(D24="","",SUM(E24:H24))</f>
        <v/>
      </c>
      <c r="J24" s="78" t="str">
        <f t="shared" si="11"/>
        <v/>
      </c>
      <c r="K24" s="45" t="str">
        <f t="shared" si="8"/>
        <v/>
      </c>
      <c r="L24" s="45" t="str">
        <f t="shared" si="9"/>
        <v/>
      </c>
      <c r="M24" s="46">
        <v>643</v>
      </c>
      <c r="N24" s="64">
        <v>2</v>
      </c>
      <c r="O24" s="46" t="str">
        <f t="shared" si="0"/>
        <v/>
      </c>
      <c r="P24" s="46" t="str">
        <f t="shared" si="1"/>
        <v/>
      </c>
      <c r="Q24" s="48" t="str">
        <f t="shared" si="3"/>
        <v/>
      </c>
      <c r="R24" s="18" t="str">
        <f t="shared" si="10"/>
        <v/>
      </c>
      <c r="S24" s="49"/>
      <c r="U24" s="7"/>
      <c r="V24" s="7"/>
      <c r="W24" s="7"/>
      <c r="X24" s="7"/>
      <c r="Y24" s="7"/>
      <c r="Z24" s="7"/>
      <c r="AA24" s="7"/>
    </row>
    <row r="25" spans="1:33" s="23" customFormat="1" ht="15.95" customHeight="1" thickBot="1">
      <c r="A25" s="50" t="s">
        <v>51</v>
      </c>
      <c r="B25" s="141" t="s">
        <v>42</v>
      </c>
      <c r="C25" s="142"/>
      <c r="D25" s="27" t="str">
        <f>IF(OR(B25=Z3,B25=Z4,B25=Z5),2,"")</f>
        <v/>
      </c>
      <c r="E25" s="75"/>
      <c r="F25" s="67"/>
      <c r="G25" s="67"/>
      <c r="H25" s="68"/>
      <c r="I25" s="31" t="str">
        <f t="shared" ref="I25:I28" si="12">IF(D25="","",SUM(E25:H25))</f>
        <v/>
      </c>
      <c r="J25" s="78" t="str">
        <f t="shared" si="11"/>
        <v/>
      </c>
      <c r="K25" s="45" t="str">
        <f t="shared" si="8"/>
        <v/>
      </c>
      <c r="L25" s="45" t="str">
        <f t="shared" si="9"/>
        <v/>
      </c>
      <c r="M25" s="46">
        <v>661</v>
      </c>
      <c r="N25" s="47">
        <v>1.9</v>
      </c>
      <c r="O25" s="46" t="str">
        <f t="shared" si="0"/>
        <v/>
      </c>
      <c r="P25" s="46" t="str">
        <f t="shared" si="1"/>
        <v/>
      </c>
      <c r="Q25" s="48" t="str">
        <f t="shared" si="3"/>
        <v/>
      </c>
      <c r="R25" s="18" t="str">
        <f t="shared" si="10"/>
        <v/>
      </c>
      <c r="S25" s="49"/>
      <c r="U25" s="7"/>
      <c r="V25" s="7"/>
      <c r="W25" s="7"/>
      <c r="X25" s="7"/>
      <c r="Y25" s="7"/>
      <c r="Z25" s="7"/>
      <c r="AA25" s="7"/>
    </row>
    <row r="26" spans="1:33" s="23" customFormat="1" ht="15.95" customHeight="1" thickBot="1">
      <c r="A26" s="50" t="s">
        <v>89</v>
      </c>
      <c r="B26" s="141" t="s">
        <v>42</v>
      </c>
      <c r="C26" s="142"/>
      <c r="D26" s="27" t="str">
        <f>IF(B26=AB4,2,"")</f>
        <v/>
      </c>
      <c r="E26" s="75"/>
      <c r="F26" s="67"/>
      <c r="G26" s="67"/>
      <c r="H26" s="68"/>
      <c r="I26" s="31" t="str">
        <f t="shared" si="12"/>
        <v/>
      </c>
      <c r="J26" s="78" t="str">
        <f t="shared" si="11"/>
        <v/>
      </c>
      <c r="K26" s="45" t="str">
        <f t="shared" si="8"/>
        <v/>
      </c>
      <c r="L26" s="45" t="str">
        <f t="shared" si="9"/>
        <v/>
      </c>
      <c r="M26" s="46">
        <v>679</v>
      </c>
      <c r="N26" s="47">
        <v>1.8</v>
      </c>
      <c r="O26" s="46" t="str">
        <f t="shared" si="0"/>
        <v/>
      </c>
      <c r="P26" s="46" t="str">
        <f>O26&amp;""&amp;P27</f>
        <v/>
      </c>
      <c r="Q26" s="48" t="str">
        <f t="shared" si="3"/>
        <v/>
      </c>
      <c r="R26" s="18" t="str">
        <f t="shared" si="10"/>
        <v/>
      </c>
      <c r="S26" s="49"/>
      <c r="U26" s="7"/>
      <c r="V26" s="7"/>
      <c r="W26" s="7"/>
      <c r="X26" s="7"/>
      <c r="Y26" s="7"/>
      <c r="Z26" s="7"/>
      <c r="AA26" s="7"/>
      <c r="AG26" s="7"/>
    </row>
    <row r="27" spans="1:33" s="23" customFormat="1" ht="15.95" customHeight="1" thickBot="1">
      <c r="A27" s="50" t="s">
        <v>57</v>
      </c>
      <c r="B27" s="141" t="s">
        <v>42</v>
      </c>
      <c r="C27" s="142"/>
      <c r="D27" s="27" t="str">
        <f>IF(OR(B27=AA3,B27=AA4),2,"")</f>
        <v/>
      </c>
      <c r="E27" s="75"/>
      <c r="F27" s="67"/>
      <c r="G27" s="67"/>
      <c r="H27" s="68"/>
      <c r="I27" s="31" t="str">
        <f t="shared" si="12"/>
        <v/>
      </c>
      <c r="J27" s="78" t="str">
        <f t="shared" si="11"/>
        <v/>
      </c>
      <c r="K27" s="45" t="str">
        <f t="shared" si="8"/>
        <v/>
      </c>
      <c r="L27" s="45" t="str">
        <f t="shared" si="9"/>
        <v/>
      </c>
      <c r="M27" s="46">
        <v>697</v>
      </c>
      <c r="N27" s="47">
        <v>1.7</v>
      </c>
      <c r="O27" s="46" t="str">
        <f t="shared" si="0"/>
        <v/>
      </c>
      <c r="P27" s="46" t="str">
        <f t="shared" si="1"/>
        <v/>
      </c>
      <c r="Q27" s="48" t="str">
        <f t="shared" si="3"/>
        <v/>
      </c>
      <c r="R27" s="18" t="str">
        <f t="shared" si="10"/>
        <v/>
      </c>
      <c r="S27" s="49"/>
      <c r="T27" s="7"/>
      <c r="U27" s="7"/>
      <c r="V27" s="7"/>
      <c r="W27" s="7"/>
      <c r="X27" s="7"/>
      <c r="Y27" s="7"/>
      <c r="Z27" s="7"/>
      <c r="AA27" s="7"/>
      <c r="AG27" s="7"/>
    </row>
    <row r="28" spans="1:33" s="23" customFormat="1" ht="15.95" customHeight="1" thickBot="1">
      <c r="A28" s="50" t="s">
        <v>18</v>
      </c>
      <c r="B28" s="141" t="s">
        <v>42</v>
      </c>
      <c r="C28" s="142"/>
      <c r="D28" s="27" t="str">
        <f>IF(OR(B28=AC3),2,"")</f>
        <v/>
      </c>
      <c r="E28" s="75"/>
      <c r="F28" s="67"/>
      <c r="G28" s="67"/>
      <c r="H28" s="68"/>
      <c r="I28" s="31" t="str">
        <f t="shared" si="12"/>
        <v/>
      </c>
      <c r="J28" s="78" t="str">
        <f t="shared" si="11"/>
        <v/>
      </c>
      <c r="K28" s="45" t="str">
        <f t="shared" si="8"/>
        <v/>
      </c>
      <c r="L28" s="45" t="str">
        <f t="shared" si="9"/>
        <v/>
      </c>
      <c r="M28" s="46">
        <v>715</v>
      </c>
      <c r="N28" s="47">
        <v>1.6</v>
      </c>
      <c r="O28" s="46" t="str">
        <f t="shared" si="0"/>
        <v/>
      </c>
      <c r="P28" s="46" t="str">
        <f t="shared" si="1"/>
        <v/>
      </c>
      <c r="Q28" s="48" t="str">
        <f t="shared" si="3"/>
        <v/>
      </c>
      <c r="R28" s="18" t="str">
        <f>IF(AND(COUNTBLANK(E28:H28)&lt;4,D28=""),"Fach auswählen!",IF(OR(B28=B$36,B28=B$37,B28=B$38),IF(COUNTIF(E28:H28,0)&gt;0,"0 Punkte  =&gt; nicht best.!",""),""))</f>
        <v/>
      </c>
      <c r="S28" s="49"/>
      <c r="U28" s="7"/>
      <c r="V28" s="7"/>
      <c r="W28" s="7"/>
      <c r="X28" s="7"/>
      <c r="Y28" s="7"/>
      <c r="Z28" s="7"/>
      <c r="AA28" s="7"/>
      <c r="AG28" s="7"/>
    </row>
    <row r="29" spans="1:33" s="23" customFormat="1" ht="15.95" hidden="1" customHeight="1" thickBot="1">
      <c r="A29" s="79"/>
      <c r="B29" s="171"/>
      <c r="C29" s="172"/>
      <c r="D29" s="27" t="str">
        <f>IF(B29=AD3,2,"")</f>
        <v/>
      </c>
      <c r="E29" s="75"/>
      <c r="F29" s="67"/>
      <c r="G29" s="67"/>
      <c r="H29" s="68"/>
      <c r="I29" s="31"/>
      <c r="J29" s="78" t="str">
        <f t="shared" si="11"/>
        <v/>
      </c>
      <c r="K29" s="45"/>
      <c r="L29" s="45"/>
      <c r="M29" s="46"/>
      <c r="N29" s="47"/>
      <c r="O29" s="46"/>
      <c r="P29" s="46"/>
      <c r="Q29" s="48"/>
      <c r="R29" s="18"/>
      <c r="S29" s="49"/>
      <c r="U29" s="7"/>
      <c r="V29" s="7"/>
      <c r="W29" s="7"/>
      <c r="X29" s="7"/>
      <c r="Y29" s="7"/>
      <c r="Z29" s="7"/>
      <c r="AA29" s="7"/>
      <c r="AG29" s="80"/>
    </row>
    <row r="30" spans="1:33" s="23" customFormat="1" ht="15.95" customHeight="1" thickBot="1">
      <c r="A30" s="173" t="s">
        <v>19</v>
      </c>
      <c r="B30" s="174"/>
      <c r="C30" s="175"/>
      <c r="D30" s="81">
        <f>SUM(D4:D29)</f>
        <v>31</v>
      </c>
      <c r="E30" s="183" t="s">
        <v>63</v>
      </c>
      <c r="F30" s="184"/>
      <c r="G30" s="184"/>
      <c r="H30" s="82">
        <f>COUNT(E4:H29)-COUNTIF(E4:H29,0)</f>
        <v>0</v>
      </c>
      <c r="I30" s="176" t="str">
        <f>IF(COUNTIF(J4:J29,2)&lt;3,"Faktor 3x auf 2 setzen!",IF(COUNTIF(J4:J29,2)&gt;3,"Faktor nur 3x auf 2 setzen!",""))</f>
        <v>Faktor 3x auf 2 setzen!</v>
      </c>
      <c r="J30" s="177"/>
      <c r="K30" s="177"/>
      <c r="L30" s="83"/>
      <c r="M30" s="46">
        <v>751</v>
      </c>
      <c r="N30" s="47">
        <v>1.4</v>
      </c>
      <c r="O30" s="46" t="str">
        <f t="shared" si="0"/>
        <v/>
      </c>
      <c r="P30" s="46" t="str">
        <f t="shared" si="1"/>
        <v/>
      </c>
      <c r="Q30" s="199" t="str">
        <f>IF(AND(J8=1,J9=1),"Ein profilgeb. Fach muss Faktor 2 haben.","")</f>
        <v/>
      </c>
      <c r="R30" s="18" t="str">
        <f>IF(AND(COUNTBLANK(E15:H15)&gt;0,COUNTBLANK(E20:H20)&gt;0),"4 N. in NW-Fach eintr.!",IF(OR(COUNTIF(E15:H15,0)&gt;0,COUNTIF(E20:H20,0)&gt;0),"0 Punkte  =&gt; nicht best.!",""))</f>
        <v>4 N. in NW-Fach eintr.!</v>
      </c>
      <c r="S30" s="86"/>
      <c r="U30" s="7"/>
      <c r="V30" s="7"/>
      <c r="W30" s="7"/>
      <c r="X30" s="7"/>
      <c r="Y30" s="7"/>
      <c r="Z30" s="7"/>
      <c r="AA30" s="7"/>
    </row>
    <row r="31" spans="1:33" ht="15.95" customHeight="1">
      <c r="A31" s="87"/>
      <c r="B31" s="48" t="str">
        <f>IF(OR(B20=B15,B24=B17),"Doppelbelegung!","")</f>
        <v/>
      </c>
      <c r="C31" s="137" t="str">
        <f>IF(D30&lt;34,"zu wenig Stunden/Semester","")</f>
        <v>zu wenig Stunden/Semester</v>
      </c>
      <c r="D31" s="137"/>
      <c r="E31" s="137"/>
      <c r="F31" s="103"/>
      <c r="G31" s="179" t="str">
        <f>IF(H30&lt;32,"zu wenig Kurse!","")</f>
        <v>zu wenig Kurse!</v>
      </c>
      <c r="H31" s="179"/>
      <c r="I31" s="178"/>
      <c r="J31" s="178"/>
      <c r="K31" s="178"/>
      <c r="L31" s="89"/>
      <c r="M31" s="33">
        <v>769</v>
      </c>
      <c r="N31" s="37">
        <v>1.3</v>
      </c>
      <c r="O31" s="33" t="str">
        <f t="shared" si="0"/>
        <v/>
      </c>
      <c r="P31" s="33" t="str">
        <f t="shared" si="1"/>
        <v/>
      </c>
      <c r="Q31" s="201"/>
      <c r="R31" s="18" t="str">
        <f>IF(AND(COUNTBLANK(E17:H17)&gt;0,COUNTBLANK(E24:H24)&gt;0),"4 N. in künstl. Fach eintr.!",IF(OR(COUNTIF(E17:H17,0)&gt;0,COUNTIF(E24:H24,0)&gt;0),"0 Punkte  =&gt; nicht best.!",""))</f>
        <v>4 N. in künstl. Fach eintr.!</v>
      </c>
    </row>
    <row r="32" spans="1:33" ht="15.95" customHeight="1" thickBot="1">
      <c r="A32" s="87"/>
      <c r="B32" s="103"/>
      <c r="C32" s="48"/>
      <c r="D32" s="48"/>
      <c r="E32" s="48"/>
      <c r="F32" s="179" t="str">
        <f>IF(COUNTIF(E4:H29,"&gt;15")&gt;0,"Notenwert(e) zu hoch!",IF(COUNTIF(E4:H29,"&lt;5")&gt;(H30/5),"zu viele Unterkurse!",""))</f>
        <v/>
      </c>
      <c r="G32" s="180"/>
      <c r="H32" s="180"/>
      <c r="I32" s="91"/>
      <c r="J32" s="91"/>
      <c r="K32" s="91"/>
      <c r="L32" s="89"/>
      <c r="M32" s="33">
        <v>787</v>
      </c>
      <c r="N32" s="37">
        <v>1.2</v>
      </c>
      <c r="O32" s="33" t="str">
        <f t="shared" si="0"/>
        <v/>
      </c>
      <c r="P32" s="33" t="str">
        <f t="shared" si="1"/>
        <v/>
      </c>
      <c r="Q32" s="137" t="str">
        <f>IF(AND(COUNTBLANK(E10:H10)&gt;0,COUNTBLANK(E14:H14)&gt;0,COUNTBLANK(E26:H26)&gt;0,COUNTBLANK(E29:H29)&gt;0),"4 Noten in PGW, Geschichte oder Geo eintragen!",IF(OR(COUNTIF(E10:H10,0)&gt;0,COUNTIF(E14:H14,0)&gt;0,COUNTIF(E26:H26,0)&gt;0,COUNTIF(E29:H29,0)&gt;0),"0 Punkte  =&gt; nicht best.!",""))</f>
        <v>4 Noten in PGW, Geschichte oder Geo eintragen!</v>
      </c>
      <c r="R32" s="138"/>
    </row>
    <row r="33" spans="1:18" ht="15.95" customHeight="1" thickBot="1">
      <c r="A33" s="1" t="s">
        <v>67</v>
      </c>
      <c r="B33" s="92"/>
      <c r="C33" s="92"/>
      <c r="D33" s="92"/>
      <c r="E33" s="103"/>
      <c r="F33" s="103"/>
      <c r="G33" s="103"/>
      <c r="H33" s="103"/>
      <c r="I33" s="89"/>
      <c r="J33" s="89"/>
      <c r="K33" s="89"/>
      <c r="L33" s="89"/>
      <c r="M33" s="33">
        <v>805</v>
      </c>
      <c r="N33" s="37">
        <v>1.1000000000000001</v>
      </c>
      <c r="O33" s="33" t="str">
        <f>IF(P34&lt;&gt;"","",IF($F$38&gt;=M33,N33,""))</f>
        <v/>
      </c>
      <c r="P33" s="33" t="str">
        <f>O33&amp;""&amp;P34</f>
        <v/>
      </c>
      <c r="Q33" s="82"/>
      <c r="R33" s="90"/>
    </row>
    <row r="34" spans="1:18" ht="15.95" customHeight="1" thickBot="1">
      <c r="A34" s="93"/>
      <c r="B34" s="92"/>
      <c r="C34" s="94" t="s">
        <v>4</v>
      </c>
      <c r="D34" s="94" t="s">
        <v>73</v>
      </c>
      <c r="E34" s="103"/>
      <c r="F34" s="181" t="s">
        <v>74</v>
      </c>
      <c r="G34" s="182"/>
      <c r="H34" s="103"/>
      <c r="I34" s="181" t="s">
        <v>76</v>
      </c>
      <c r="J34" s="182"/>
      <c r="K34" s="89"/>
      <c r="L34" s="89"/>
      <c r="M34" s="33">
        <v>823</v>
      </c>
      <c r="N34" s="34">
        <v>1</v>
      </c>
      <c r="O34" s="33" t="str">
        <f>IF($F$38&gt;=M34,N34,"")</f>
        <v/>
      </c>
      <c r="P34" s="33" t="str">
        <f>O34</f>
        <v/>
      </c>
      <c r="Q34" s="82"/>
      <c r="R34" s="90"/>
    </row>
    <row r="35" spans="1:18" ht="15.95" customHeight="1" thickBot="1">
      <c r="A35" s="93" t="s">
        <v>68</v>
      </c>
      <c r="B35" s="95" t="s">
        <v>72</v>
      </c>
      <c r="C35" s="96" t="s">
        <v>64</v>
      </c>
      <c r="D35" s="97"/>
      <c r="E35" s="103"/>
      <c r="F35" s="185">
        <f>5*SUM(D35:D38)</f>
        <v>0</v>
      </c>
      <c r="G35" s="186"/>
      <c r="H35" s="103"/>
      <c r="I35" s="185" t="str">
        <f>IF(SUM(K4:K29)=0,"0",ROUND(SUM(K4:K29)/SUM(L4:L29)*40,0))</f>
        <v>0</v>
      </c>
      <c r="J35" s="186"/>
      <c r="K35" s="89"/>
      <c r="L35" s="89"/>
      <c r="M35" s="33"/>
      <c r="N35" s="98"/>
      <c r="O35" s="33"/>
      <c r="P35" s="33" t="str">
        <f>P34&amp;""&amp;O35</f>
        <v/>
      </c>
      <c r="Q35" s="82"/>
      <c r="R35" s="18"/>
    </row>
    <row r="36" spans="1:18" ht="15.95" customHeight="1" thickBot="1">
      <c r="A36" s="93" t="s">
        <v>69</v>
      </c>
      <c r="B36" s="99"/>
      <c r="C36" s="96" t="s">
        <v>64</v>
      </c>
      <c r="D36" s="97"/>
      <c r="E36" s="103"/>
      <c r="F36" s="191" t="str">
        <f>IF(F35&lt;100,"nicht best. (&lt;100P.)","")</f>
        <v>nicht best. (&lt;100P.)</v>
      </c>
      <c r="G36" s="191"/>
      <c r="H36" s="103"/>
      <c r="I36" s="191" t="str">
        <f>IF(I35&lt;200,"nicht best. (&lt;200P.)","")</f>
        <v/>
      </c>
      <c r="J36" s="191"/>
      <c r="K36" s="89"/>
      <c r="L36" s="89"/>
      <c r="M36" s="33"/>
      <c r="N36" s="98"/>
      <c r="O36" s="33"/>
      <c r="P36" s="33"/>
      <c r="Q36" s="82"/>
      <c r="R36" s="18"/>
    </row>
    <row r="37" spans="1:18" ht="15.95" customHeight="1" thickBot="1">
      <c r="A37" s="93" t="s">
        <v>70</v>
      </c>
      <c r="B37" s="99"/>
      <c r="C37" s="100" t="s">
        <v>66</v>
      </c>
      <c r="D37" s="97"/>
      <c r="E37" s="103"/>
      <c r="F37" s="181" t="s">
        <v>78</v>
      </c>
      <c r="G37" s="182"/>
      <c r="H37" s="103"/>
      <c r="I37" s="192" t="s">
        <v>79</v>
      </c>
      <c r="J37" s="193"/>
      <c r="K37" s="89"/>
      <c r="L37" s="89"/>
      <c r="M37" s="89"/>
      <c r="N37" s="89"/>
      <c r="O37" s="89"/>
      <c r="P37" s="89"/>
      <c r="Q37" s="82"/>
      <c r="R37" s="18"/>
    </row>
    <row r="38" spans="1:18" ht="15.95" customHeight="1" thickBot="1">
      <c r="A38" s="93" t="s">
        <v>71</v>
      </c>
      <c r="B38" s="99"/>
      <c r="C38" s="100" t="s">
        <v>66</v>
      </c>
      <c r="D38" s="97"/>
      <c r="E38" s="103"/>
      <c r="F38" s="185">
        <f>F35+I35</f>
        <v>0</v>
      </c>
      <c r="G38" s="186"/>
      <c r="H38" s="103"/>
      <c r="I38" s="194" t="str">
        <f>IF(AND(A39="",A40="",A41="",A42="",A43="",B39="",B40="",B41="",B42="",B43="",C39="",C40="",F36="",I36="",G31="",I30="",Q3="",Q4="",Q5="",Q6="",Q7="",Q8="",Q9="",Q10="",Q11="",Q12="",Q13="",Q14="",Q15="",Q16="",Q17="",Q18="",Q19="",Q20="",Q21="",Q22="",Q23="",Q24="",Q25="",Q26="",Q27="",Q28="",Q30="",Q32="",R3="",R4="",R5="",R8="",R9="",R10="",R11="",R12="",R13="",R14="",R15="",R16="",R17="",R18="",R19="",R20="",R21="",R22="",R23="",R24="",R25="",R26="",R27="",R28="",R30="",R31=""),P4,"Fehler vorhanden")</f>
        <v>Fehler vorhanden</v>
      </c>
      <c r="J38" s="195"/>
      <c r="K38" s="89"/>
      <c r="L38" s="89"/>
      <c r="M38" s="89"/>
      <c r="N38" s="89"/>
      <c r="O38" s="89"/>
      <c r="P38" s="89"/>
      <c r="Q38" s="82"/>
      <c r="R38" s="18" t="str">
        <f>IF(COUNTIF(C35:C37,"EN")&lt;2,"mind. 2x EN wählen!","")</f>
        <v/>
      </c>
    </row>
    <row r="39" spans="1:18" ht="15.95" customHeight="1">
      <c r="A39" s="93"/>
      <c r="B39" s="102" t="str">
        <f>IF(COUNTIF(B35:B38,"Deutsch")+COUNTIF(B35:B38,"Mathematik")+COUNTIF(B35:B38,"Englisch")+COUNTIF(B35:B38,"Spanisch")+COUNTIF(B35:B38,"Französisch")+COUNTIF(B35:B38,"Latein")&lt;2,"2 Kernfächer wählen!",IF(OR(B35=B36,B35=B37,B35=B38,B36=B37,B36=B38,B37=B38),"versch. Fächer wählen!",""))</f>
        <v>2 Kernfächer wählen!</v>
      </c>
      <c r="C39" s="187" t="str">
        <f>IF(COUNTIF(D35:D38,"&lt;5")&gt;2,"nicht best. (3-4mal &lt; 5 P.)","")</f>
        <v/>
      </c>
      <c r="D39" s="188"/>
      <c r="E39" s="188"/>
      <c r="F39" s="189"/>
      <c r="G39" s="189"/>
      <c r="H39" s="103"/>
      <c r="I39" s="89"/>
      <c r="J39" s="89"/>
      <c r="K39" s="89"/>
      <c r="L39" s="89"/>
      <c r="M39" s="89"/>
      <c r="N39" s="89"/>
      <c r="O39" s="89"/>
      <c r="P39" s="89"/>
      <c r="Q39" s="82"/>
      <c r="R39" s="90"/>
    </row>
    <row r="40" spans="1:18" ht="15.95" customHeight="1">
      <c r="A40" s="104" t="str">
        <f>IF(COUNTIF(B$4:B$29,B35)=1,"","1. Prüfungsfach in Block 1 nicht belegt!")</f>
        <v>1. Prüfungsfach in Block 1 nicht belegt!</v>
      </c>
      <c r="B40" s="105" t="str">
        <f>IF(COUNTIF(B35:B38,"Deutsch")+COUNTIF(B35:B38,"Englisch")+COUNTIF(B35:B38,"Spanisch")+COUNTIF(B35:B38,"Französisch")+COUNTIF(B35:B38,"Latein")+COUNTIF(B35:B38,"Kunst")+COUNTIF(B35:B38,"Musik")+COUNTIF(B35:B38,DSP)=0,"1. Aufgabenfeld fehlt!","")</f>
        <v>1. Aufgabenfeld fehlt!</v>
      </c>
      <c r="C40" s="187" t="str">
        <f>IF(OR(D35&gt;45,D36&gt;4),"",IF(AND(C37="EN",D37&gt;4),"",IF(AND(C38="EN",D38&gt;4),"","nicht bestanden (EN &lt; 5 P.)")))</f>
        <v>nicht bestanden (EN &lt; 5 P.)</v>
      </c>
      <c r="D40" s="190"/>
      <c r="E40" s="190"/>
      <c r="F40" s="103"/>
      <c r="G40" s="103"/>
      <c r="H40" s="103"/>
      <c r="I40" s="89"/>
      <c r="J40" s="89"/>
      <c r="K40" s="89"/>
      <c r="L40" s="89"/>
      <c r="M40" s="89"/>
      <c r="N40" s="89"/>
      <c r="O40" s="89"/>
      <c r="P40" s="89"/>
      <c r="Q40" s="82"/>
      <c r="R40" s="90"/>
    </row>
    <row r="41" spans="1:18" ht="15.95" customHeight="1">
      <c r="A41" s="104" t="str">
        <f>IF(COUNTIF(B$4:B$29,B36)=1,"","2. Prüfungsfach in Block 1 nicht belegt!")</f>
        <v>2. Prüfungsfach in Block 1 nicht belegt!</v>
      </c>
      <c r="B41" s="105" t="str">
        <f>IF(COUNTIF(B35:B38,"PGW")+COUNTIF(B35:B38,"Geschichte")+COUNTIF(B35:B38,"Geographie")+COUNTIF(B35:B38,"Religion")+COUNTIF(B35:B38,"Philosophie")+COUNTIF(B35:B38,"Pädagogik")+COUNTIF(B35:B38,"Psychologie")=0,"2. Aufgabenfeld fehlt!","")</f>
        <v>2. Aufgabenfeld fehlt!</v>
      </c>
      <c r="C41" s="106"/>
      <c r="D41" s="106"/>
      <c r="E41" s="106"/>
      <c r="F41" s="103"/>
      <c r="G41" s="103"/>
      <c r="H41" s="103"/>
      <c r="I41" s="89"/>
      <c r="J41" s="89"/>
      <c r="K41" s="89"/>
      <c r="L41" s="89"/>
      <c r="M41" s="89"/>
      <c r="N41" s="89"/>
      <c r="O41" s="89"/>
      <c r="P41" s="89"/>
      <c r="Q41" s="82"/>
      <c r="R41" s="90"/>
    </row>
    <row r="42" spans="1:18" ht="15.95" customHeight="1">
      <c r="A42" s="104" t="str">
        <f>IF(COUNTIF(B$4:B$29,B37)=1,"","3. Prüfungsfach in Block 1 nicht belegt!")</f>
        <v>3. Prüfungsfach in Block 1 nicht belegt!</v>
      </c>
      <c r="B42" s="105" t="str">
        <f>IF(COUNTIF(B35:B38,"Mathematik")+COUNTIF(B35:B38,"Biologie")+COUNTIF(B35:B38,"Chemie")+COUNTIF(B35:B38,"Physik")+COUNTIF(B35:B38,"Informatik")=0,"3. Aufgabenfeld fehlt!","")</f>
        <v>3. Aufgabenfeld fehlt!</v>
      </c>
      <c r="C42" s="92"/>
      <c r="D42" s="92"/>
      <c r="E42" s="103"/>
      <c r="F42" s="103"/>
      <c r="G42" s="103"/>
      <c r="H42" s="103"/>
      <c r="I42" s="89"/>
      <c r="J42" s="89"/>
      <c r="K42" s="89"/>
      <c r="L42" s="89"/>
      <c r="M42" s="89"/>
      <c r="N42" s="89"/>
      <c r="O42" s="89"/>
      <c r="P42" s="89"/>
      <c r="Q42" s="82"/>
      <c r="R42" s="90"/>
    </row>
    <row r="43" spans="1:18" ht="15.95" customHeight="1" thickBot="1">
      <c r="A43" s="107" t="str">
        <f>IF(COUNTIF(B$4:B$29,B38)=1,"","4. Prüfungsfach in Block 1 nicht belegt!")</f>
        <v>4. Prüfungsfach in Block 1 nicht belegt!</v>
      </c>
      <c r="B43" s="108" t="str">
        <f>IF(COUNTIF(B35:B38,B8)=0,"profilgeb. Fach fehlt!","")</f>
        <v>profilgeb. Fach fehlt!</v>
      </c>
      <c r="C43" s="109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1"/>
      <c r="R43" s="112"/>
    </row>
  </sheetData>
  <mergeCells count="50">
    <mergeCell ref="C1:I1"/>
    <mergeCell ref="Q2:R2"/>
    <mergeCell ref="O3:P3"/>
    <mergeCell ref="A4:A6"/>
    <mergeCell ref="B7:C7"/>
    <mergeCell ref="Q7:R7"/>
    <mergeCell ref="B10:C10"/>
    <mergeCell ref="B11:C11"/>
    <mergeCell ref="B12:C12"/>
    <mergeCell ref="B13:C13"/>
    <mergeCell ref="B14:C14"/>
    <mergeCell ref="B24:C24"/>
    <mergeCell ref="B15:C15"/>
    <mergeCell ref="B16:C16"/>
    <mergeCell ref="B17:C17"/>
    <mergeCell ref="B18:C18"/>
    <mergeCell ref="B19:C19"/>
    <mergeCell ref="B20:C20"/>
    <mergeCell ref="C40:E40"/>
    <mergeCell ref="Q30:Q31"/>
    <mergeCell ref="F35:G35"/>
    <mergeCell ref="I35:J35"/>
    <mergeCell ref="F36:G36"/>
    <mergeCell ref="I36:J36"/>
    <mergeCell ref="F37:G37"/>
    <mergeCell ref="I37:J37"/>
    <mergeCell ref="E30:G30"/>
    <mergeCell ref="I30:K31"/>
    <mergeCell ref="C31:E31"/>
    <mergeCell ref="G31:H31"/>
    <mergeCell ref="F32:H32"/>
    <mergeCell ref="F34:G34"/>
    <mergeCell ref="I34:J34"/>
    <mergeCell ref="A30:C30"/>
    <mergeCell ref="Q12:R12"/>
    <mergeCell ref="Q32:R32"/>
    <mergeCell ref="F38:G38"/>
    <mergeCell ref="I38:J38"/>
    <mergeCell ref="C39:E39"/>
    <mergeCell ref="F39:G39"/>
    <mergeCell ref="B25:C25"/>
    <mergeCell ref="B26:C26"/>
    <mergeCell ref="B27:C27"/>
    <mergeCell ref="B28:C28"/>
    <mergeCell ref="B29:C29"/>
    <mergeCell ref="B21:C23"/>
    <mergeCell ref="E21:E23"/>
    <mergeCell ref="F21:F23"/>
    <mergeCell ref="G21:G23"/>
    <mergeCell ref="H21:H23"/>
  </mergeCells>
  <dataValidations count="18">
    <dataValidation type="list" showInputMessage="1" showErrorMessage="1" sqref="B36:B38">
      <formula1>$AG$3:$AG$21</formula1>
    </dataValidation>
    <dataValidation type="list" showInputMessage="1" showErrorMessage="1" sqref="J8:J9 J15 J4:J6 J20:J21">
      <formula1>$AF$3:$AF$4</formula1>
    </dataValidation>
    <dataValidation type="list" showInputMessage="1" showErrorMessage="1" sqref="C4:C6">
      <formula1>$AE$3:$AE$4</formula1>
    </dataValidation>
    <dataValidation type="list" showInputMessage="1" showErrorMessage="1" sqref="B35">
      <formula1>$T$9:$T$14</formula1>
    </dataValidation>
    <dataValidation type="list" allowBlank="1" showInputMessage="1" showErrorMessage="1" sqref="B24:C24">
      <formula1>$Y$3:$Y$6</formula1>
    </dataValidation>
    <dataValidation type="list" allowBlank="1" showInputMessage="1" showErrorMessage="1" sqref="B21:B23">
      <formula1>$W$3:$W$11</formula1>
    </dataValidation>
    <dataValidation type="list" allowBlank="1" showInputMessage="1" showErrorMessage="1" sqref="B26:C26">
      <formula1>$AD$4:$AD$5</formula1>
    </dataValidation>
    <dataValidation type="list" allowBlank="1" showInputMessage="1" showErrorMessage="1" sqref="B27:C27">
      <formula1>$AA$3:$AA$5</formula1>
    </dataValidation>
    <dataValidation type="list" allowBlank="1" showInputMessage="1" showErrorMessage="1" sqref="B28:C28">
      <formula1>$AC$3:$AC$4</formula1>
    </dataValidation>
    <dataValidation type="list" allowBlank="1" showInputMessage="1" showErrorMessage="1" sqref="B25:C25">
      <formula1>$Z$3:$Z$6</formula1>
    </dataValidation>
    <dataValidation type="list" allowBlank="1" showInputMessage="1" showErrorMessage="1" sqref="B20:C20">
      <formula1>$V$3:$V$6</formula1>
    </dataValidation>
    <dataValidation type="list" showInputMessage="1" showErrorMessage="1" sqref="B16:C16">
      <formula1>$U$3:$U$4</formula1>
    </dataValidation>
    <dataValidation type="list" showInputMessage="1" showErrorMessage="1" sqref="B15:C15">
      <formula1>$V$3:$V$5</formula1>
    </dataValidation>
    <dataValidation type="list" showInputMessage="1" showErrorMessage="1" sqref="B5">
      <formula1>T3:T6</formula1>
    </dataValidation>
    <dataValidation type="list" allowBlank="1" showInputMessage="1" showErrorMessage="1" sqref="B29:C29">
      <formula1>$AD$3:$AD$5</formula1>
    </dataValidation>
    <dataValidation type="list" showInputMessage="1" showErrorMessage="1" sqref="B17:C17">
      <formula1>$Y$3:$Y$5</formula1>
    </dataValidation>
    <dataValidation type="list" showInputMessage="1" showErrorMessage="1" sqref="B14:C14">
      <formula1>$AB$3:$AB$4</formula1>
    </dataValidation>
    <dataValidation type="list" allowBlank="1" showInputMessage="1" showErrorMessage="1" sqref="C37:C38">
      <formula1>$AE$3:$AE$4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G43"/>
  <sheetViews>
    <sheetView workbookViewId="0"/>
  </sheetViews>
  <sheetFormatPr baseColWidth="10" defaultRowHeight="15.95" customHeight="1"/>
  <cols>
    <col min="1" max="1" width="47.140625" style="8" customWidth="1"/>
    <col min="2" max="2" width="20.5703125" style="8" customWidth="1"/>
    <col min="3" max="10" width="8.7109375" style="8" customWidth="1"/>
    <col min="11" max="16" width="8.7109375" style="8" hidden="1" customWidth="1"/>
    <col min="17" max="17" width="23" style="6" customWidth="1"/>
    <col min="18" max="18" width="22.7109375" style="6" customWidth="1"/>
    <col min="19" max="19" width="16" style="6" hidden="1" customWidth="1"/>
    <col min="20" max="21" width="10.42578125" style="7" hidden="1" customWidth="1"/>
    <col min="22" max="22" width="8.5703125" style="7" hidden="1" customWidth="1"/>
    <col min="23" max="23" width="12.140625" style="7" hidden="1" customWidth="1"/>
    <col min="24" max="24" width="11.42578125" style="7" hidden="1" customWidth="1"/>
    <col min="25" max="25" width="7.28515625" style="7" hidden="1" customWidth="1"/>
    <col min="26" max="26" width="9.28515625" style="7" hidden="1" customWidth="1"/>
    <col min="27" max="27" width="19.28515625" style="7" hidden="1" customWidth="1"/>
    <col min="28" max="30" width="11.42578125" style="8" hidden="1" customWidth="1"/>
    <col min="31" max="31" width="3.85546875" style="8" hidden="1" customWidth="1"/>
    <col min="32" max="32" width="3.42578125" style="8" hidden="1" customWidth="1"/>
    <col min="33" max="33" width="11.42578125" style="8" hidden="1" customWidth="1"/>
    <col min="34" max="16384" width="11.42578125" style="8"/>
  </cols>
  <sheetData>
    <row r="1" spans="1:33" ht="15.95" customHeight="1" thickBot="1">
      <c r="A1" s="1" t="s">
        <v>82</v>
      </c>
      <c r="B1" s="3"/>
      <c r="C1" s="139" t="s">
        <v>87</v>
      </c>
      <c r="D1" s="139"/>
      <c r="E1" s="139"/>
      <c r="F1" s="139"/>
      <c r="G1" s="139"/>
      <c r="H1" s="139"/>
      <c r="I1" s="140"/>
      <c r="J1" s="3"/>
      <c r="K1" s="3"/>
      <c r="L1" s="3"/>
      <c r="M1" s="3"/>
      <c r="N1" s="3"/>
      <c r="O1" s="3"/>
      <c r="P1" s="3"/>
      <c r="Q1" s="4"/>
      <c r="R1" s="5"/>
    </row>
    <row r="2" spans="1:33" ht="15.95" customHeight="1" thickBot="1">
      <c r="A2" s="9"/>
      <c r="B2" s="10"/>
      <c r="C2" s="10"/>
      <c r="D2" s="10"/>
      <c r="E2" s="10"/>
      <c r="F2" s="10"/>
      <c r="G2" s="10"/>
      <c r="H2" s="10"/>
      <c r="Q2" s="143" t="str">
        <f>IF(I38="Fehler vorhanden","Fehlermeldungen","")</f>
        <v>Fehlermeldungen</v>
      </c>
      <c r="R2" s="144"/>
    </row>
    <row r="3" spans="1:33" s="23" customFormat="1" ht="15.95" customHeight="1" thickBot="1">
      <c r="A3" s="11" t="s">
        <v>3</v>
      </c>
      <c r="B3" s="39"/>
      <c r="C3" s="11" t="s">
        <v>4</v>
      </c>
      <c r="D3" s="13" t="s">
        <v>5</v>
      </c>
      <c r="E3" s="14" t="s">
        <v>59</v>
      </c>
      <c r="F3" s="11" t="s">
        <v>60</v>
      </c>
      <c r="G3" s="11" t="s">
        <v>61</v>
      </c>
      <c r="H3" s="135" t="s">
        <v>61</v>
      </c>
      <c r="I3" s="14" t="s">
        <v>0</v>
      </c>
      <c r="J3" s="11" t="s">
        <v>62</v>
      </c>
      <c r="K3" s="15" t="s">
        <v>75</v>
      </c>
      <c r="L3" s="15" t="s">
        <v>77</v>
      </c>
      <c r="M3" s="16" t="s">
        <v>1</v>
      </c>
      <c r="N3" s="16" t="s">
        <v>2</v>
      </c>
      <c r="O3" s="145" t="s">
        <v>80</v>
      </c>
      <c r="P3" s="145"/>
      <c r="Q3" s="48"/>
      <c r="R3" s="18" t="str">
        <f>IF(COUNTIF(C4:C6,"EN")&lt;2,"mind. 2x EN wählen!","")</f>
        <v>mind. 2x EN wählen!</v>
      </c>
      <c r="S3" s="19" t="s">
        <v>83</v>
      </c>
      <c r="T3" s="20" t="s">
        <v>20</v>
      </c>
      <c r="U3" s="7" t="s">
        <v>23</v>
      </c>
      <c r="V3" s="7" t="s">
        <v>25</v>
      </c>
      <c r="W3" s="20" t="s">
        <v>20</v>
      </c>
      <c r="X3" s="7" t="s">
        <v>30</v>
      </c>
      <c r="Y3" s="7" t="s">
        <v>33</v>
      </c>
      <c r="Z3" s="7" t="s">
        <v>35</v>
      </c>
      <c r="AA3" s="7" t="s">
        <v>32</v>
      </c>
      <c r="AB3" s="21" t="s">
        <v>9</v>
      </c>
      <c r="AC3" s="7" t="s">
        <v>39</v>
      </c>
      <c r="AD3" s="22" t="s">
        <v>9</v>
      </c>
      <c r="AE3" s="7" t="s">
        <v>64</v>
      </c>
      <c r="AF3" s="23">
        <v>1</v>
      </c>
      <c r="AG3" s="24" t="s">
        <v>6</v>
      </c>
    </row>
    <row r="4" spans="1:33" s="23" customFormat="1" ht="15.95" customHeight="1" thickBot="1">
      <c r="A4" s="156" t="s">
        <v>81</v>
      </c>
      <c r="B4" s="25" t="s">
        <v>6</v>
      </c>
      <c r="C4" s="26" t="s">
        <v>66</v>
      </c>
      <c r="D4" s="27">
        <v>4</v>
      </c>
      <c r="E4" s="75"/>
      <c r="F4" s="67"/>
      <c r="G4" s="67"/>
      <c r="H4" s="68"/>
      <c r="I4" s="31">
        <f>SUM(E4:H4)</f>
        <v>0</v>
      </c>
      <c r="J4" s="67">
        <f>IF(AND(C4="EN",OR(B4=B$35,B4=B$36,B4=B$37)),2,1)</f>
        <v>1</v>
      </c>
      <c r="K4" s="32">
        <f>IF(OR(J4=1,J4=2),I4*J4,"")</f>
        <v>0</v>
      </c>
      <c r="L4" s="32">
        <f>COUNT(E4:H4)*J4</f>
        <v>0</v>
      </c>
      <c r="M4" s="33">
        <v>300</v>
      </c>
      <c r="N4" s="34">
        <v>4</v>
      </c>
      <c r="O4" s="33" t="str">
        <f t="shared" ref="O4:O32" si="0">IF(P5&lt;&gt;"","",IF($F$38&gt;=M4,N4,""))</f>
        <v/>
      </c>
      <c r="P4" s="33" t="str">
        <f t="shared" ref="P4:P32" si="1">O4&amp;""&amp;P5</f>
        <v/>
      </c>
      <c r="Q4" s="48" t="str">
        <f>IF(COUNTBLANK(E4:H4)&gt;0,"Alle 4 Noten eintragen!",IF(COUNTIF(E4:H4,0)&gt;0,"0 Punkte  =&gt; nicht best.!",""))</f>
        <v>Alle 4 Noten eintragen!</v>
      </c>
      <c r="R4" s="18" t="str">
        <f>IF(C4="Niveau?","Niveau wählen!","")</f>
        <v>Niveau wählen!</v>
      </c>
      <c r="S4" s="35" t="str">
        <f>IF(J4=2,IF(AND(OR(B4=B$35,B4=B$36,B4=B$37),C4="EN"),"ja","nein"),"")</f>
        <v/>
      </c>
      <c r="T4" s="7" t="s">
        <v>21</v>
      </c>
      <c r="U4" s="7" t="s">
        <v>24</v>
      </c>
      <c r="V4" s="7" t="s">
        <v>26</v>
      </c>
      <c r="W4" s="7" t="s">
        <v>21</v>
      </c>
      <c r="X4" s="7" t="s">
        <v>31</v>
      </c>
      <c r="Y4" s="7" t="s">
        <v>49</v>
      </c>
      <c r="Z4" s="7" t="s">
        <v>36</v>
      </c>
      <c r="AA4" s="7" t="s">
        <v>38</v>
      </c>
      <c r="AB4" s="7" t="s">
        <v>41</v>
      </c>
      <c r="AC4" s="7" t="s">
        <v>42</v>
      </c>
      <c r="AD4" s="22" t="s">
        <v>11</v>
      </c>
      <c r="AE4" s="7" t="s">
        <v>65</v>
      </c>
      <c r="AF4" s="23">
        <v>2</v>
      </c>
      <c r="AG4" s="7" t="s">
        <v>7</v>
      </c>
    </row>
    <row r="5" spans="1:33" s="23" customFormat="1" ht="15.95" customHeight="1" thickBot="1">
      <c r="A5" s="157"/>
      <c r="B5" s="127"/>
      <c r="C5" s="128"/>
      <c r="D5" s="129"/>
      <c r="E5" s="130"/>
      <c r="F5" s="130"/>
      <c r="G5" s="130"/>
      <c r="H5" s="130"/>
      <c r="I5" s="129"/>
      <c r="J5" s="131"/>
      <c r="K5" s="32"/>
      <c r="L5" s="32"/>
      <c r="M5" s="33"/>
      <c r="N5" s="37"/>
      <c r="O5" s="33"/>
      <c r="P5" s="33"/>
      <c r="Q5" s="48"/>
      <c r="R5" s="18"/>
      <c r="S5" s="35" t="str">
        <f t="shared" ref="S5:S6" si="2">IF(J5=2,IF(AND(OR(B5=B$35,B5=B$36,B5=B$37),C5="EN"),"ja","nein"),"")</f>
        <v/>
      </c>
      <c r="T5" s="24" t="s">
        <v>28</v>
      </c>
      <c r="U5" s="7"/>
      <c r="V5" s="7" t="s">
        <v>27</v>
      </c>
      <c r="W5" s="24" t="s">
        <v>28</v>
      </c>
      <c r="X5" s="7" t="s">
        <v>32</v>
      </c>
      <c r="Y5" s="7" t="s">
        <v>34</v>
      </c>
      <c r="Z5" s="7" t="s">
        <v>37</v>
      </c>
      <c r="AA5" s="7" t="s">
        <v>42</v>
      </c>
      <c r="AB5" s="7" t="s">
        <v>42</v>
      </c>
      <c r="AD5" s="22" t="s">
        <v>42</v>
      </c>
      <c r="AG5" s="20" t="s">
        <v>20</v>
      </c>
    </row>
    <row r="6" spans="1:33" s="23" customFormat="1" ht="15.95" customHeight="1" thickBot="1">
      <c r="A6" s="158"/>
      <c r="B6" s="25" t="s">
        <v>7</v>
      </c>
      <c r="C6" s="26" t="s">
        <v>66</v>
      </c>
      <c r="D6" s="27">
        <v>4</v>
      </c>
      <c r="E6" s="75"/>
      <c r="F6" s="67"/>
      <c r="G6" s="67"/>
      <c r="H6" s="68"/>
      <c r="I6" s="31">
        <f>SUM(E6:H6)</f>
        <v>0</v>
      </c>
      <c r="J6" s="67">
        <f>IF(AND(C6="EN",OR(B6=B$35,B6=B$36,B6=B$37)),2,1)</f>
        <v>1</v>
      </c>
      <c r="K6" s="32">
        <f>IF(OR(J6=1,J6=2),I6*J6,"")</f>
        <v>0</v>
      </c>
      <c r="L6" s="32">
        <f>COUNT(E6:H6)*J6</f>
        <v>0</v>
      </c>
      <c r="M6" s="33">
        <v>319</v>
      </c>
      <c r="N6" s="37">
        <v>3.8</v>
      </c>
      <c r="O6" s="33" t="str">
        <f t="shared" si="0"/>
        <v/>
      </c>
      <c r="P6" s="33" t="str">
        <f t="shared" si="1"/>
        <v/>
      </c>
      <c r="Q6" s="48" t="str">
        <f>IF(COUNTBLANK(E6:H6)&gt;0,"Alle 4 Noten eintragen!",IF(COUNTIF(E6:H6,0)&gt;0,"0 Punkte  =&gt; nicht best.!",""))</f>
        <v>Alle 4 Noten eintragen!</v>
      </c>
      <c r="R6" s="18" t="str">
        <f>IF(C6="Niveau?","Niveau wählen!","")</f>
        <v>Niveau wählen!</v>
      </c>
      <c r="S6" s="35" t="str">
        <f t="shared" si="2"/>
        <v/>
      </c>
      <c r="T6" s="7" t="s">
        <v>22</v>
      </c>
      <c r="U6" s="7"/>
      <c r="V6" s="7" t="s">
        <v>42</v>
      </c>
      <c r="W6" s="7" t="s">
        <v>22</v>
      </c>
      <c r="X6" s="7" t="s">
        <v>42</v>
      </c>
      <c r="Y6" s="7" t="s">
        <v>42</v>
      </c>
      <c r="Z6" s="7" t="s">
        <v>42</v>
      </c>
      <c r="AA6" s="7"/>
      <c r="AG6" s="7" t="s">
        <v>21</v>
      </c>
    </row>
    <row r="7" spans="1:33" s="23" customFormat="1" ht="15.95" customHeight="1" thickBot="1">
      <c r="A7" s="38" t="s">
        <v>8</v>
      </c>
      <c r="B7" s="148"/>
      <c r="C7" s="149"/>
      <c r="D7" s="40"/>
      <c r="E7" s="41"/>
      <c r="F7" s="42"/>
      <c r="G7" s="42"/>
      <c r="H7" s="43"/>
      <c r="I7" s="44"/>
      <c r="J7" s="42"/>
      <c r="K7" s="45"/>
      <c r="L7" s="45"/>
      <c r="M7" s="46">
        <v>337</v>
      </c>
      <c r="N7" s="47">
        <v>3.7</v>
      </c>
      <c r="O7" s="46" t="str">
        <f t="shared" si="0"/>
        <v/>
      </c>
      <c r="P7" s="46" t="str">
        <f t="shared" si="1"/>
        <v/>
      </c>
      <c r="Q7" s="137" t="str">
        <f>IF(COUNTIF(J4:J6,2)=0,"Faktor e. EN-Kern- u. schr. Pr.fachs muss 2 sein!",IF(AND(COUNTIF(J4:J6,2)=1,S7=1),"Faktor e. EN-Kern u. schr. Pr.fachs muss 2 sein!",IF(AND(COUNTIF(J4:J6,2)=2,S7=2),"Faktor e. EN-Kern u. schr. Pr.fachs muss 2 sein!",IF(AND(COUNTIF(J4:J6,2)=3,S7=3),"Faktor e. EN-Kern u. schr. Pr.fachs muss 2 sein!",""))))</f>
        <v>Faktor e. EN-Kern- u. schr. Pr.fachs muss 2 sein!</v>
      </c>
      <c r="R7" s="159"/>
      <c r="S7" s="49">
        <f>COUNTIF(S4:S6,"nein")</f>
        <v>0</v>
      </c>
      <c r="T7" s="24"/>
      <c r="U7" s="7"/>
      <c r="V7" s="7"/>
      <c r="W7" s="7" t="s">
        <v>29</v>
      </c>
      <c r="X7" s="7"/>
      <c r="Y7" s="7"/>
      <c r="Z7" s="7"/>
      <c r="AA7" s="7"/>
      <c r="AG7" s="24" t="s">
        <v>28</v>
      </c>
    </row>
    <row r="8" spans="1:33" s="23" customFormat="1" ht="15.95" customHeight="1" thickBot="1">
      <c r="A8" s="50" t="s">
        <v>44</v>
      </c>
      <c r="B8" s="53" t="s">
        <v>20</v>
      </c>
      <c r="C8" s="52" t="s">
        <v>64</v>
      </c>
      <c r="D8" s="27">
        <v>4</v>
      </c>
      <c r="E8" s="75"/>
      <c r="F8" s="67"/>
      <c r="G8" s="67"/>
      <c r="H8" s="68"/>
      <c r="I8" s="31">
        <f>SUM(E8:H8)</f>
        <v>0</v>
      </c>
      <c r="J8" s="113">
        <v>2</v>
      </c>
      <c r="K8" s="45">
        <f>IF(OR(J8=1,J8=2),I8*J8,"")</f>
        <v>0</v>
      </c>
      <c r="L8" s="45">
        <f>COUNT(E8:H8)*J8</f>
        <v>0</v>
      </c>
      <c r="M8" s="46">
        <v>355</v>
      </c>
      <c r="N8" s="47">
        <v>3.6</v>
      </c>
      <c r="O8" s="46" t="str">
        <f t="shared" si="0"/>
        <v/>
      </c>
      <c r="P8" s="46" t="str">
        <f t="shared" si="1"/>
        <v/>
      </c>
      <c r="Q8" s="48" t="str">
        <f>IF(OR(B8=B$36,B8=B$37,B8=B$38),IF(COUNTBLANK(E8:H8)&gt;0,"Alle 4 Noten eintragen!",""),"")</f>
        <v/>
      </c>
      <c r="R8" s="18" t="str">
        <f>IF(OR(B8=B$36,B8=B$37,B8=B$38),IF(COUNTIF(E8:H8,0)&gt;0,"0 Punkte  =&gt; nicht best.!",""),"")</f>
        <v/>
      </c>
      <c r="S8" s="49"/>
      <c r="T8" s="24"/>
      <c r="U8" s="7"/>
      <c r="V8" s="7"/>
      <c r="W8" s="7" t="s">
        <v>30</v>
      </c>
      <c r="X8" s="7"/>
      <c r="Y8" s="7"/>
      <c r="Z8" s="7"/>
      <c r="AA8" s="7"/>
      <c r="AG8" s="7" t="s">
        <v>22</v>
      </c>
    </row>
    <row r="9" spans="1:33" s="23" customFormat="1" ht="15.95" customHeight="1" thickBot="1">
      <c r="A9" s="50" t="s">
        <v>44</v>
      </c>
      <c r="B9" s="79" t="s">
        <v>9</v>
      </c>
      <c r="C9" s="52" t="s">
        <v>64</v>
      </c>
      <c r="D9" s="27">
        <v>4</v>
      </c>
      <c r="E9" s="75"/>
      <c r="F9" s="67"/>
      <c r="G9" s="67"/>
      <c r="H9" s="68"/>
      <c r="I9" s="31">
        <f>SUM(E9:H9)</f>
        <v>0</v>
      </c>
      <c r="J9" s="113">
        <f>IF(OR(D9=2,D9=4),1,"")</f>
        <v>1</v>
      </c>
      <c r="K9" s="45">
        <f>IF(OR(J9=1,J9=2),I9*J9,"")</f>
        <v>0</v>
      </c>
      <c r="L9" s="45">
        <f>COUNT(E9:H9)*J9</f>
        <v>0</v>
      </c>
      <c r="M9" s="46">
        <v>373</v>
      </c>
      <c r="N9" s="47">
        <v>3.5</v>
      </c>
      <c r="O9" s="46" t="str">
        <f t="shared" si="0"/>
        <v/>
      </c>
      <c r="P9" s="46" t="str">
        <f t="shared" si="1"/>
        <v/>
      </c>
      <c r="Q9" s="48" t="str">
        <f t="shared" ref="Q9:Q28" si="3">IF(OR(B9=B$36,B9=B$37,B9=B$38),IF(COUNTBLANK(E9:H9)&gt;0,"Alle 4 Noten eintragen!",""),"")</f>
        <v/>
      </c>
      <c r="R9" s="18" t="str">
        <f t="shared" ref="R9:R18" si="4">IF(OR(B9=B$36,B9=B$37,B9=B$38),IF(COUNTIF(E9:H9,0)&gt;0,"0 Punkte  =&gt; nicht best.!",""),"")</f>
        <v/>
      </c>
      <c r="S9" s="49"/>
      <c r="T9" s="24" t="s">
        <v>6</v>
      </c>
      <c r="U9" s="7"/>
      <c r="V9" s="7"/>
      <c r="W9" s="7" t="s">
        <v>31</v>
      </c>
      <c r="X9" s="7"/>
      <c r="Y9" s="7"/>
      <c r="Z9" s="7"/>
      <c r="AA9" s="7"/>
      <c r="AG9" s="7" t="s">
        <v>25</v>
      </c>
    </row>
    <row r="10" spans="1:33" s="23" customFormat="1" ht="15.95" customHeight="1" thickBot="1">
      <c r="A10" s="50" t="s">
        <v>45</v>
      </c>
      <c r="B10" s="146" t="s">
        <v>11</v>
      </c>
      <c r="C10" s="147"/>
      <c r="D10" s="27">
        <v>2</v>
      </c>
      <c r="E10" s="75"/>
      <c r="F10" s="67"/>
      <c r="G10" s="67"/>
      <c r="H10" s="68"/>
      <c r="I10" s="31">
        <f>IF(D10="","",SUM(E10:H10))</f>
        <v>0</v>
      </c>
      <c r="J10" s="52">
        <f>IF(D10=2,1,"")</f>
        <v>1</v>
      </c>
      <c r="K10" s="45">
        <f>IF(OR(J10=1,J10=2),I10*J10,"")</f>
        <v>0</v>
      </c>
      <c r="L10" s="45">
        <f>COUNT(E10:H10)*J10</f>
        <v>0</v>
      </c>
      <c r="M10" s="46">
        <v>391</v>
      </c>
      <c r="N10" s="47">
        <v>3.4</v>
      </c>
      <c r="O10" s="46" t="str">
        <f t="shared" si="0"/>
        <v/>
      </c>
      <c r="P10" s="46" t="str">
        <f t="shared" si="1"/>
        <v/>
      </c>
      <c r="Q10" s="48" t="str">
        <f t="shared" si="3"/>
        <v/>
      </c>
      <c r="R10" s="18" t="str">
        <f t="shared" si="4"/>
        <v/>
      </c>
      <c r="S10" s="49"/>
      <c r="T10" s="7" t="s">
        <v>7</v>
      </c>
      <c r="U10" s="7"/>
      <c r="V10" s="7"/>
      <c r="W10" s="7" t="s">
        <v>32</v>
      </c>
      <c r="X10" s="7"/>
      <c r="Y10" s="7"/>
      <c r="Z10" s="7"/>
      <c r="AA10" s="7"/>
      <c r="AG10" s="7" t="s">
        <v>26</v>
      </c>
    </row>
    <row r="11" spans="1:33" s="23" customFormat="1" ht="15.95" customHeight="1" thickBot="1">
      <c r="A11" s="50" t="s">
        <v>12</v>
      </c>
      <c r="B11" s="146" t="s">
        <v>12</v>
      </c>
      <c r="C11" s="147"/>
      <c r="D11" s="27">
        <v>2</v>
      </c>
      <c r="E11" s="75"/>
      <c r="F11" s="67"/>
      <c r="G11" s="67"/>
      <c r="H11" s="68"/>
      <c r="I11" s="31">
        <f>IF(D11="","",SUM(E11:H11))</f>
        <v>0</v>
      </c>
      <c r="J11" s="52">
        <f>IF(D11=2,1,"")</f>
        <v>1</v>
      </c>
      <c r="K11" s="45">
        <f>IF(OR(J11=1,J11=2),I11*J11,"")</f>
        <v>0</v>
      </c>
      <c r="L11" s="45">
        <f>COUNT(E11:H11)*J11</f>
        <v>0</v>
      </c>
      <c r="M11" s="46">
        <v>409</v>
      </c>
      <c r="N11" s="47">
        <v>3.3</v>
      </c>
      <c r="O11" s="46" t="str">
        <f t="shared" si="0"/>
        <v/>
      </c>
      <c r="P11" s="46" t="str">
        <f t="shared" si="1"/>
        <v/>
      </c>
      <c r="Q11" s="48" t="str">
        <f t="shared" si="3"/>
        <v/>
      </c>
      <c r="R11" s="18" t="str">
        <f t="shared" si="4"/>
        <v/>
      </c>
      <c r="S11" s="49"/>
      <c r="T11" s="20" t="s">
        <v>20</v>
      </c>
      <c r="U11" s="7"/>
      <c r="V11" s="7"/>
      <c r="W11" s="7" t="s">
        <v>42</v>
      </c>
      <c r="X11" s="7"/>
      <c r="Y11" s="7"/>
      <c r="Z11" s="7"/>
      <c r="AA11" s="7"/>
      <c r="AG11" s="7" t="s">
        <v>27</v>
      </c>
    </row>
    <row r="12" spans="1:33" s="23" customFormat="1" ht="15.95" customHeight="1" thickBot="1">
      <c r="A12" s="38" t="s">
        <v>13</v>
      </c>
      <c r="B12" s="148"/>
      <c r="C12" s="149"/>
      <c r="D12" s="40"/>
      <c r="E12" s="41"/>
      <c r="F12" s="42"/>
      <c r="G12" s="42"/>
      <c r="H12" s="43"/>
      <c r="I12" s="44"/>
      <c r="J12" s="42"/>
      <c r="K12" s="45"/>
      <c r="L12" s="45"/>
      <c r="M12" s="46">
        <v>427</v>
      </c>
      <c r="N12" s="47">
        <v>3.2</v>
      </c>
      <c r="O12" s="46" t="str">
        <f t="shared" si="0"/>
        <v/>
      </c>
      <c r="P12" s="46" t="str">
        <f t="shared" si="1"/>
        <v/>
      </c>
      <c r="Q12" s="137"/>
      <c r="R12" s="154"/>
      <c r="S12" s="49"/>
      <c r="T12" s="7" t="s">
        <v>21</v>
      </c>
      <c r="U12" s="7"/>
      <c r="V12" s="7"/>
      <c r="W12" s="7"/>
      <c r="X12" s="7"/>
      <c r="Y12" s="7"/>
      <c r="Z12" s="7"/>
      <c r="AA12" s="7"/>
      <c r="AG12" s="21" t="s">
        <v>9</v>
      </c>
    </row>
    <row r="13" spans="1:33" s="60" customFormat="1" ht="15.95" hidden="1" customHeight="1" thickBot="1">
      <c r="A13" s="50"/>
      <c r="B13" s="150"/>
      <c r="C13" s="151"/>
      <c r="D13" s="55"/>
      <c r="E13" s="56"/>
      <c r="F13" s="57"/>
      <c r="G13" s="133"/>
      <c r="H13" s="134"/>
      <c r="I13" s="31"/>
      <c r="J13" s="52"/>
      <c r="K13" s="45"/>
      <c r="L13" s="45"/>
      <c r="M13" s="46"/>
      <c r="N13" s="47"/>
      <c r="O13" s="46"/>
      <c r="P13" s="46"/>
      <c r="Q13" s="48"/>
      <c r="R13" s="18"/>
      <c r="S13" s="59"/>
      <c r="T13" s="24" t="s">
        <v>28</v>
      </c>
      <c r="U13" s="7"/>
      <c r="V13" s="7"/>
      <c r="W13" s="7"/>
      <c r="X13" s="7"/>
      <c r="Y13" s="7"/>
      <c r="Z13" s="7"/>
      <c r="AA13" s="7"/>
      <c r="AG13" s="7" t="s">
        <v>41</v>
      </c>
    </row>
    <row r="14" spans="1:33" s="60" customFormat="1" ht="15.95" hidden="1" customHeight="1" thickBot="1">
      <c r="A14" s="61"/>
      <c r="B14" s="152"/>
      <c r="C14" s="153"/>
      <c r="D14" s="63"/>
      <c r="E14" s="56"/>
      <c r="F14" s="57"/>
      <c r="G14" s="57"/>
      <c r="H14" s="58"/>
      <c r="I14" s="31"/>
      <c r="J14" s="52"/>
      <c r="K14" s="45"/>
      <c r="L14" s="45"/>
      <c r="M14" s="46"/>
      <c r="N14" s="64"/>
      <c r="O14" s="46"/>
      <c r="P14" s="46"/>
      <c r="Q14" s="48"/>
      <c r="R14" s="18"/>
      <c r="S14" s="59"/>
      <c r="T14" s="7" t="s">
        <v>22</v>
      </c>
      <c r="U14" s="7"/>
      <c r="V14" s="7"/>
      <c r="W14" s="7"/>
      <c r="X14" s="7"/>
      <c r="Y14" s="7"/>
      <c r="Z14" s="7"/>
      <c r="AA14" s="7"/>
      <c r="AG14" s="22" t="s">
        <v>11</v>
      </c>
    </row>
    <row r="15" spans="1:33" s="23" customFormat="1" ht="15.95" customHeight="1" thickBot="1">
      <c r="A15" s="50" t="s">
        <v>47</v>
      </c>
      <c r="B15" s="141" t="s">
        <v>40</v>
      </c>
      <c r="C15" s="142"/>
      <c r="D15" s="27">
        <v>4</v>
      </c>
      <c r="E15" s="75"/>
      <c r="F15" s="67"/>
      <c r="G15" s="67"/>
      <c r="H15" s="68"/>
      <c r="I15" s="31">
        <f t="shared" ref="I15:I18" si="5">IF(D15="","",SUM(E15:H15))</f>
        <v>0</v>
      </c>
      <c r="J15" s="67">
        <f>IF(D15=4,1,"")</f>
        <v>1</v>
      </c>
      <c r="K15" s="45">
        <f t="shared" ref="K15:K18" si="6">IF(OR(J15=1,J15=2),I15*J15,"")</f>
        <v>0</v>
      </c>
      <c r="L15" s="45" t="str">
        <f t="shared" ref="L15:L18" si="7">IF(COUNT(E15:H15)=0,"",COUNT(E15:H15)*J15)</f>
        <v/>
      </c>
      <c r="M15" s="46">
        <v>481</v>
      </c>
      <c r="N15" s="47">
        <v>2.9</v>
      </c>
      <c r="O15" s="46" t="str">
        <f t="shared" si="0"/>
        <v/>
      </c>
      <c r="P15" s="46" t="str">
        <f t="shared" si="1"/>
        <v/>
      </c>
      <c r="Q15" s="48" t="str">
        <f t="shared" si="3"/>
        <v/>
      </c>
      <c r="R15" s="18" t="str">
        <f t="shared" si="4"/>
        <v/>
      </c>
      <c r="S15" s="49"/>
      <c r="U15" s="7"/>
      <c r="V15" s="7"/>
      <c r="W15" s="7"/>
      <c r="X15" s="7"/>
      <c r="Y15" s="7"/>
      <c r="Z15" s="7"/>
      <c r="AA15" s="7"/>
      <c r="AG15" s="7" t="s">
        <v>23</v>
      </c>
    </row>
    <row r="16" spans="1:33" s="23" customFormat="1" ht="15.95" customHeight="1" thickBot="1">
      <c r="A16" s="50" t="s">
        <v>48</v>
      </c>
      <c r="B16" s="141" t="s">
        <v>40</v>
      </c>
      <c r="C16" s="142"/>
      <c r="D16" s="27">
        <v>2</v>
      </c>
      <c r="E16" s="75"/>
      <c r="F16" s="67"/>
      <c r="G16" s="67"/>
      <c r="H16" s="68"/>
      <c r="I16" s="31">
        <f t="shared" si="5"/>
        <v>0</v>
      </c>
      <c r="J16" s="52">
        <f>IF(D16=2,1,"")</f>
        <v>1</v>
      </c>
      <c r="K16" s="45">
        <f t="shared" si="6"/>
        <v>0</v>
      </c>
      <c r="L16" s="45" t="str">
        <f t="shared" si="7"/>
        <v/>
      </c>
      <c r="M16" s="46">
        <v>499</v>
      </c>
      <c r="N16" s="47">
        <v>2.8</v>
      </c>
      <c r="O16" s="46" t="str">
        <f t="shared" si="0"/>
        <v/>
      </c>
      <c r="P16" s="46" t="str">
        <f t="shared" si="1"/>
        <v/>
      </c>
      <c r="Q16" s="48" t="str">
        <f t="shared" si="3"/>
        <v/>
      </c>
      <c r="R16" s="18" t="str">
        <f t="shared" si="4"/>
        <v/>
      </c>
      <c r="S16" s="49"/>
      <c r="T16" s="7"/>
      <c r="U16" s="7"/>
      <c r="V16" s="7"/>
      <c r="W16" s="7"/>
      <c r="X16" s="7"/>
      <c r="Y16" s="7"/>
      <c r="Z16" s="7"/>
      <c r="AA16" s="7"/>
      <c r="AG16" s="7" t="s">
        <v>24</v>
      </c>
    </row>
    <row r="17" spans="1:33" s="23" customFormat="1" ht="15.95" customHeight="1" thickBot="1">
      <c r="A17" s="50" t="s">
        <v>46</v>
      </c>
      <c r="B17" s="141" t="s">
        <v>40</v>
      </c>
      <c r="C17" s="142"/>
      <c r="D17" s="27">
        <v>2</v>
      </c>
      <c r="E17" s="75"/>
      <c r="F17" s="67"/>
      <c r="G17" s="67"/>
      <c r="H17" s="68"/>
      <c r="I17" s="31">
        <f t="shared" si="5"/>
        <v>0</v>
      </c>
      <c r="J17" s="52">
        <f>IF(D17=2,1,"")</f>
        <v>1</v>
      </c>
      <c r="K17" s="45">
        <f t="shared" si="6"/>
        <v>0</v>
      </c>
      <c r="L17" s="45" t="str">
        <f t="shared" si="7"/>
        <v/>
      </c>
      <c r="M17" s="46">
        <v>517</v>
      </c>
      <c r="N17" s="47">
        <v>2.7</v>
      </c>
      <c r="O17" s="46" t="str">
        <f t="shared" si="0"/>
        <v/>
      </c>
      <c r="P17" s="46" t="str">
        <f t="shared" si="1"/>
        <v/>
      </c>
      <c r="Q17" s="48" t="str">
        <f t="shared" si="3"/>
        <v/>
      </c>
      <c r="R17" s="18" t="str">
        <f t="shared" si="4"/>
        <v/>
      </c>
      <c r="S17" s="49"/>
      <c r="U17" s="7"/>
      <c r="V17" s="7"/>
      <c r="W17" s="7"/>
      <c r="X17" s="7"/>
      <c r="Y17" s="7"/>
      <c r="Z17" s="7"/>
      <c r="AA17" s="7"/>
      <c r="AG17" s="7" t="s">
        <v>33</v>
      </c>
    </row>
    <row r="18" spans="1:33" s="23" customFormat="1" ht="15.95" customHeight="1" thickBot="1">
      <c r="A18" s="50" t="s">
        <v>14</v>
      </c>
      <c r="B18" s="146" t="s">
        <v>14</v>
      </c>
      <c r="C18" s="155"/>
      <c r="D18" s="27">
        <v>2</v>
      </c>
      <c r="E18" s="75"/>
      <c r="F18" s="67"/>
      <c r="G18" s="67"/>
      <c r="H18" s="68"/>
      <c r="I18" s="31">
        <f t="shared" si="5"/>
        <v>0</v>
      </c>
      <c r="J18" s="52">
        <f>IF(D18=2,1,"")</f>
        <v>1</v>
      </c>
      <c r="K18" s="45">
        <f t="shared" si="6"/>
        <v>0</v>
      </c>
      <c r="L18" s="45" t="str">
        <f t="shared" si="7"/>
        <v/>
      </c>
      <c r="M18" s="46">
        <v>535</v>
      </c>
      <c r="N18" s="47">
        <v>2.6</v>
      </c>
      <c r="O18" s="46" t="str">
        <f t="shared" si="0"/>
        <v/>
      </c>
      <c r="P18" s="46" t="str">
        <f t="shared" si="1"/>
        <v/>
      </c>
      <c r="Q18" s="48" t="str">
        <f t="shared" si="3"/>
        <v/>
      </c>
      <c r="R18" s="18" t="str">
        <f t="shared" si="4"/>
        <v/>
      </c>
      <c r="S18" s="49"/>
      <c r="U18" s="7"/>
      <c r="V18" s="7"/>
      <c r="W18" s="7"/>
      <c r="X18" s="7"/>
      <c r="Y18" s="7"/>
      <c r="Z18" s="7"/>
      <c r="AA18" s="7"/>
      <c r="AG18" s="7" t="s">
        <v>49</v>
      </c>
    </row>
    <row r="19" spans="1:33" s="23" customFormat="1" ht="15.95" customHeight="1" thickBot="1">
      <c r="A19" s="38" t="s">
        <v>15</v>
      </c>
      <c r="B19" s="148"/>
      <c r="C19" s="149"/>
      <c r="D19" s="40"/>
      <c r="E19" s="41"/>
      <c r="F19" s="42"/>
      <c r="G19" s="42"/>
      <c r="H19" s="43"/>
      <c r="I19" s="44"/>
      <c r="J19" s="42"/>
      <c r="K19" s="45"/>
      <c r="L19" s="45"/>
      <c r="M19" s="46">
        <v>553</v>
      </c>
      <c r="N19" s="47">
        <v>2.5</v>
      </c>
      <c r="O19" s="46" t="str">
        <f t="shared" si="0"/>
        <v/>
      </c>
      <c r="P19" s="46" t="str">
        <f t="shared" si="1"/>
        <v/>
      </c>
      <c r="Q19" s="48" t="str">
        <f>IF(OR(B13="Auswahlliste!",B14="Auswahlliste!",B15="Auswahlliste!",B16="Auswahlliste!",B17="Auswahlliste!"),"Wahlpfl.fächer wählen!","")</f>
        <v>Wahlpfl.fächer wählen!</v>
      </c>
      <c r="R19" s="18"/>
      <c r="S19" s="49"/>
      <c r="U19" s="7"/>
      <c r="V19" s="7"/>
      <c r="W19" s="7"/>
      <c r="X19" s="7"/>
      <c r="Y19" s="7"/>
      <c r="Z19" s="7"/>
      <c r="AA19" s="7"/>
      <c r="AG19" s="7" t="s">
        <v>34</v>
      </c>
    </row>
    <row r="20" spans="1:33" s="23" customFormat="1" ht="15.95" customHeight="1" thickBot="1">
      <c r="A20" s="50" t="s">
        <v>56</v>
      </c>
      <c r="B20" s="141" t="s">
        <v>42</v>
      </c>
      <c r="C20" s="142"/>
      <c r="D20" s="27" t="str">
        <f>IF(OR(B20=V3,B20=V4,B20=V5),4,"")</f>
        <v/>
      </c>
      <c r="E20" s="75"/>
      <c r="F20" s="67"/>
      <c r="G20" s="67"/>
      <c r="H20" s="68"/>
      <c r="I20" s="31" t="str">
        <f>IF(D20="","",SUM(E20:H20))</f>
        <v/>
      </c>
      <c r="J20" s="136" t="str">
        <f>IF(D20=4,1,"")</f>
        <v/>
      </c>
      <c r="K20" s="45" t="str">
        <f t="shared" ref="K20:K28" si="8">IF(OR(J20=1,J20=2),I20*J20,"")</f>
        <v/>
      </c>
      <c r="L20" s="45" t="str">
        <f t="shared" ref="L20:L28" si="9">IF(COUNT(E20:H20)=0,"",COUNT(E20:H20)*J20)</f>
        <v/>
      </c>
      <c r="M20" s="46">
        <v>571</v>
      </c>
      <c r="N20" s="47">
        <v>2.4</v>
      </c>
      <c r="O20" s="46" t="str">
        <f t="shared" si="0"/>
        <v/>
      </c>
      <c r="P20" s="46" t="str">
        <f t="shared" si="1"/>
        <v/>
      </c>
      <c r="Q20" s="48" t="str">
        <f t="shared" si="3"/>
        <v/>
      </c>
      <c r="R20" s="18" t="str">
        <f t="shared" ref="R20:R27" si="10">IF(AND(COUNTBLANK(E20:H20)&lt;4,D20=""),"Fach auswählen!",IF(OR(B20=B$36,B20=B$37,B20=B$38),IF(COUNTIF(E20:H20,0)&gt;0,"0 Punkte  =&gt; nicht best.!",""),""))</f>
        <v/>
      </c>
      <c r="S20" s="49"/>
      <c r="U20" s="7"/>
      <c r="V20" s="7"/>
      <c r="W20" s="7"/>
      <c r="X20" s="7"/>
      <c r="Y20" s="7"/>
      <c r="Z20" s="7"/>
      <c r="AA20" s="7"/>
      <c r="AG20" s="21" t="s">
        <v>39</v>
      </c>
    </row>
    <row r="21" spans="1:33" s="23" customFormat="1" ht="15.95" customHeight="1" thickBot="1">
      <c r="A21" s="65" t="s">
        <v>55</v>
      </c>
      <c r="B21" s="160" t="s">
        <v>42</v>
      </c>
      <c r="C21" s="161"/>
      <c r="D21" s="66" t="str">
        <f>IF(OR(B21=W3,B21=W4,B21=W5,B21=W6),4,"")</f>
        <v/>
      </c>
      <c r="E21" s="166"/>
      <c r="F21" s="169"/>
      <c r="G21" s="169"/>
      <c r="H21" s="170"/>
      <c r="I21" s="69" t="str">
        <f>IF(D21="","",SUM(E21:H21))</f>
        <v/>
      </c>
      <c r="J21" s="70" t="str">
        <f>IF(D21=4,1,"")</f>
        <v/>
      </c>
      <c r="K21" s="45" t="str">
        <f t="shared" si="8"/>
        <v/>
      </c>
      <c r="L21" s="45" t="str">
        <f t="shared" si="9"/>
        <v/>
      </c>
      <c r="M21" s="46">
        <v>589</v>
      </c>
      <c r="N21" s="47">
        <v>2.2999999999999998</v>
      </c>
      <c r="O21" s="46" t="str">
        <f t="shared" si="0"/>
        <v/>
      </c>
      <c r="P21" s="46" t="str">
        <f t="shared" si="1"/>
        <v/>
      </c>
      <c r="Q21" s="48" t="str">
        <f t="shared" si="3"/>
        <v/>
      </c>
      <c r="R21" s="18" t="str">
        <f>IF(AND(COUNTBLANK(E21:H21)&lt;4,D21=""),"Fach auswählen!",IF(OR(B21=B$36,B21=B$37,B21=B$38),IF(COUNTIF(E21:H21,0)&gt;0,"0 Punkte  =&gt; nicht best.!",""),""))</f>
        <v/>
      </c>
      <c r="S21" s="49"/>
      <c r="U21" s="7"/>
      <c r="V21" s="7"/>
      <c r="W21" s="7"/>
      <c r="X21" s="7"/>
      <c r="Y21" s="7"/>
      <c r="Z21" s="7"/>
      <c r="AA21" s="7"/>
      <c r="AG21" s="7" t="s">
        <v>14</v>
      </c>
    </row>
    <row r="22" spans="1:33" s="23" customFormat="1" ht="15.95" customHeight="1" thickBot="1">
      <c r="A22" s="65" t="s">
        <v>16</v>
      </c>
      <c r="B22" s="162"/>
      <c r="C22" s="163"/>
      <c r="D22" s="71" t="str">
        <f>IF(B21=W7,2,"")</f>
        <v/>
      </c>
      <c r="E22" s="167"/>
      <c r="F22" s="169"/>
      <c r="G22" s="169"/>
      <c r="H22" s="170"/>
      <c r="I22" s="72" t="str">
        <f>IF(D22="","",SUM(E22:H22))</f>
        <v/>
      </c>
      <c r="J22" s="73" t="str">
        <f t="shared" ref="J22:J29" si="11">IF(D22=2,1,"")</f>
        <v/>
      </c>
      <c r="K22" s="45" t="str">
        <f t="shared" si="8"/>
        <v/>
      </c>
      <c r="L22" s="45" t="str">
        <f t="shared" si="9"/>
        <v/>
      </c>
      <c r="M22" s="46">
        <v>607</v>
      </c>
      <c r="N22" s="47">
        <v>2.2000000000000002</v>
      </c>
      <c r="O22" s="46" t="str">
        <f t="shared" si="0"/>
        <v/>
      </c>
      <c r="P22" s="46" t="str">
        <f t="shared" si="1"/>
        <v/>
      </c>
      <c r="Q22" s="48" t="str">
        <f>IF(OR(B21=B$36,B21=B$37,B21=B$38),IF(COUNTBLANK(E21:H21)&gt;0,"Alle 4 Noten eintragen!",""),"")</f>
        <v/>
      </c>
      <c r="R22" s="18" t="str">
        <f>IF(AND(COUNTBLANK(E21:H21)&lt;4,D22=""),"Fach auswählen!",IF(OR(B22=B$36,B22=B$37,B22=B$38),IF(COUNTIF(E22:H22,0)&gt;0,"0 Punkte  =&gt; nicht best.!",""),""))</f>
        <v/>
      </c>
      <c r="S22" s="49"/>
      <c r="U22" s="7"/>
      <c r="V22" s="7"/>
      <c r="W22" s="7"/>
      <c r="X22" s="7"/>
      <c r="Y22" s="7"/>
      <c r="Z22" s="7"/>
      <c r="AA22" s="7"/>
      <c r="AG22" s="7"/>
    </row>
    <row r="23" spans="1:33" s="23" customFormat="1" ht="15.95" customHeight="1" thickBot="1">
      <c r="A23" s="50" t="s">
        <v>43</v>
      </c>
      <c r="B23" s="164"/>
      <c r="C23" s="165"/>
      <c r="D23" s="74" t="str">
        <f>IF(OR(B21=W8,B21=W9,B21=W10),2,"")</f>
        <v/>
      </c>
      <c r="E23" s="168"/>
      <c r="F23" s="169"/>
      <c r="G23" s="169"/>
      <c r="H23" s="170"/>
      <c r="I23" s="76" t="str">
        <f>IF(D23="","",SUM(E23:H23))</f>
        <v/>
      </c>
      <c r="J23" s="77" t="str">
        <f t="shared" si="11"/>
        <v/>
      </c>
      <c r="K23" s="45" t="str">
        <f t="shared" si="8"/>
        <v/>
      </c>
      <c r="L23" s="45" t="str">
        <f t="shared" si="9"/>
        <v/>
      </c>
      <c r="M23" s="46">
        <v>625</v>
      </c>
      <c r="N23" s="47">
        <v>2.1</v>
      </c>
      <c r="O23" s="46" t="str">
        <f t="shared" si="0"/>
        <v/>
      </c>
      <c r="P23" s="46" t="str">
        <f t="shared" si="1"/>
        <v/>
      </c>
      <c r="Q23" s="48" t="str">
        <f>IF(OR(B21=B$36,B21=B$37,B21=B$38),IF(COUNTBLANK(E21:H21)&gt;0,"Alle 4 Noten eintragen!",""),"")</f>
        <v/>
      </c>
      <c r="R23" s="18" t="str">
        <f>IF(AND(COUNTBLANK(E21:H21)&lt;4,D23=""),"Fach auswählen!",IF(OR(B23=B$36,B23=B$37,B23=B$38),IF(COUNTIF(E23:H23,0)&gt;0,"0 Punkte  =&gt; nicht best.!",""),""))</f>
        <v/>
      </c>
      <c r="S23" s="49"/>
      <c r="T23" s="7"/>
      <c r="U23" s="7"/>
      <c r="V23" s="7"/>
      <c r="W23" s="7"/>
      <c r="X23" s="7"/>
      <c r="Y23" s="7"/>
      <c r="Z23" s="7"/>
      <c r="AA23" s="7"/>
      <c r="AG23" s="7"/>
    </row>
    <row r="24" spans="1:33" s="23" customFormat="1" ht="15.95" customHeight="1" thickBot="1">
      <c r="A24" s="50" t="s">
        <v>46</v>
      </c>
      <c r="B24" s="141" t="s">
        <v>42</v>
      </c>
      <c r="C24" s="142"/>
      <c r="D24" s="27" t="str">
        <f>IF(OR(B24=Y3,B24=Y4,B24=Y5),2,"")</f>
        <v/>
      </c>
      <c r="E24" s="75"/>
      <c r="F24" s="67"/>
      <c r="G24" s="67"/>
      <c r="H24" s="68"/>
      <c r="I24" s="31" t="str">
        <f>IF(D24="","",SUM(E24:H24))</f>
        <v/>
      </c>
      <c r="J24" s="78" t="str">
        <f t="shared" si="11"/>
        <v/>
      </c>
      <c r="K24" s="45" t="str">
        <f t="shared" si="8"/>
        <v/>
      </c>
      <c r="L24" s="45" t="str">
        <f t="shared" si="9"/>
        <v/>
      </c>
      <c r="M24" s="46">
        <v>643</v>
      </c>
      <c r="N24" s="64">
        <v>2</v>
      </c>
      <c r="O24" s="46" t="str">
        <f t="shared" si="0"/>
        <v/>
      </c>
      <c r="P24" s="46" t="str">
        <f t="shared" si="1"/>
        <v/>
      </c>
      <c r="Q24" s="48" t="str">
        <f t="shared" si="3"/>
        <v/>
      </c>
      <c r="R24" s="18" t="str">
        <f t="shared" si="10"/>
        <v/>
      </c>
      <c r="S24" s="49"/>
      <c r="U24" s="7"/>
      <c r="V24" s="7"/>
      <c r="W24" s="7"/>
      <c r="X24" s="7"/>
      <c r="Y24" s="7"/>
      <c r="Z24" s="7"/>
      <c r="AA24" s="7"/>
    </row>
    <row r="25" spans="1:33" s="23" customFormat="1" ht="15.95" customHeight="1" thickBot="1">
      <c r="A25" s="50" t="s">
        <v>51</v>
      </c>
      <c r="B25" s="141" t="s">
        <v>42</v>
      </c>
      <c r="C25" s="142"/>
      <c r="D25" s="27" t="str">
        <f>IF(OR(B25=Z3,B25=Z4,B25=Z5),2,"")</f>
        <v/>
      </c>
      <c r="E25" s="75"/>
      <c r="F25" s="67"/>
      <c r="G25" s="67"/>
      <c r="H25" s="68"/>
      <c r="I25" s="31" t="str">
        <f t="shared" ref="I25:I28" si="12">IF(D25="","",SUM(E25:H25))</f>
        <v/>
      </c>
      <c r="J25" s="78" t="str">
        <f t="shared" si="11"/>
        <v/>
      </c>
      <c r="K25" s="45" t="str">
        <f t="shared" si="8"/>
        <v/>
      </c>
      <c r="L25" s="45" t="str">
        <f t="shared" si="9"/>
        <v/>
      </c>
      <c r="M25" s="46">
        <v>661</v>
      </c>
      <c r="N25" s="47">
        <v>1.9</v>
      </c>
      <c r="O25" s="46" t="str">
        <f t="shared" si="0"/>
        <v/>
      </c>
      <c r="P25" s="46" t="str">
        <f t="shared" si="1"/>
        <v/>
      </c>
      <c r="Q25" s="48" t="str">
        <f t="shared" si="3"/>
        <v/>
      </c>
      <c r="R25" s="18" t="str">
        <f t="shared" si="10"/>
        <v/>
      </c>
      <c r="S25" s="49"/>
      <c r="U25" s="7"/>
      <c r="V25" s="7"/>
      <c r="W25" s="7"/>
      <c r="X25" s="7"/>
      <c r="Y25" s="7"/>
      <c r="Z25" s="7"/>
      <c r="AA25" s="7"/>
    </row>
    <row r="26" spans="1:33" s="23" customFormat="1" ht="15.95" customHeight="1" thickBot="1">
      <c r="A26" s="50" t="s">
        <v>17</v>
      </c>
      <c r="B26" s="141" t="s">
        <v>42</v>
      </c>
      <c r="C26" s="142"/>
      <c r="D26" s="27" t="str">
        <f>IF(B26=AB4,2,"")</f>
        <v/>
      </c>
      <c r="E26" s="75"/>
      <c r="F26" s="67"/>
      <c r="G26" s="67"/>
      <c r="H26" s="68"/>
      <c r="I26" s="31" t="str">
        <f t="shared" si="12"/>
        <v/>
      </c>
      <c r="J26" s="78" t="str">
        <f t="shared" si="11"/>
        <v/>
      </c>
      <c r="K26" s="45" t="str">
        <f t="shared" si="8"/>
        <v/>
      </c>
      <c r="L26" s="45" t="str">
        <f t="shared" si="9"/>
        <v/>
      </c>
      <c r="M26" s="46">
        <v>679</v>
      </c>
      <c r="N26" s="47">
        <v>1.8</v>
      </c>
      <c r="O26" s="46" t="str">
        <f t="shared" si="0"/>
        <v/>
      </c>
      <c r="P26" s="46" t="str">
        <f>O26&amp;""&amp;P27</f>
        <v/>
      </c>
      <c r="Q26" s="48" t="str">
        <f t="shared" si="3"/>
        <v/>
      </c>
      <c r="R26" s="18" t="str">
        <f t="shared" si="10"/>
        <v/>
      </c>
      <c r="S26" s="49"/>
      <c r="U26" s="7"/>
      <c r="V26" s="7"/>
      <c r="W26" s="7"/>
      <c r="X26" s="7"/>
      <c r="Y26" s="7"/>
      <c r="Z26" s="7"/>
      <c r="AA26" s="7"/>
      <c r="AG26" s="7"/>
    </row>
    <row r="27" spans="1:33" s="23" customFormat="1" ht="15.95" customHeight="1" thickBot="1">
      <c r="A27" s="50" t="s">
        <v>57</v>
      </c>
      <c r="B27" s="141" t="s">
        <v>42</v>
      </c>
      <c r="C27" s="142"/>
      <c r="D27" s="27" t="str">
        <f>IF(OR(B27=AA3,B27=AA4),2,"")</f>
        <v/>
      </c>
      <c r="E27" s="75"/>
      <c r="F27" s="67"/>
      <c r="G27" s="67"/>
      <c r="H27" s="68"/>
      <c r="I27" s="31" t="str">
        <f t="shared" si="12"/>
        <v/>
      </c>
      <c r="J27" s="78" t="str">
        <f t="shared" si="11"/>
        <v/>
      </c>
      <c r="K27" s="45" t="str">
        <f t="shared" si="8"/>
        <v/>
      </c>
      <c r="L27" s="45" t="str">
        <f t="shared" si="9"/>
        <v/>
      </c>
      <c r="M27" s="46">
        <v>697</v>
      </c>
      <c r="N27" s="47">
        <v>1.7</v>
      </c>
      <c r="O27" s="46" t="str">
        <f t="shared" si="0"/>
        <v/>
      </c>
      <c r="P27" s="46" t="str">
        <f t="shared" si="1"/>
        <v/>
      </c>
      <c r="Q27" s="48" t="str">
        <f t="shared" si="3"/>
        <v/>
      </c>
      <c r="R27" s="18" t="str">
        <f t="shared" si="10"/>
        <v/>
      </c>
      <c r="S27" s="49"/>
      <c r="T27" s="7"/>
      <c r="U27" s="7"/>
      <c r="V27" s="7"/>
      <c r="W27" s="7"/>
      <c r="X27" s="7"/>
      <c r="Y27" s="7"/>
      <c r="Z27" s="7"/>
      <c r="AA27" s="7"/>
      <c r="AG27" s="7"/>
    </row>
    <row r="28" spans="1:33" s="23" customFormat="1" ht="15.95" customHeight="1" thickBot="1">
      <c r="A28" s="50" t="s">
        <v>18</v>
      </c>
      <c r="B28" s="141" t="s">
        <v>42</v>
      </c>
      <c r="C28" s="142"/>
      <c r="D28" s="27" t="str">
        <f>IF(OR(B28=AC3),2,"")</f>
        <v/>
      </c>
      <c r="E28" s="75"/>
      <c r="F28" s="67"/>
      <c r="G28" s="67"/>
      <c r="H28" s="68"/>
      <c r="I28" s="31" t="str">
        <f t="shared" si="12"/>
        <v/>
      </c>
      <c r="J28" s="78" t="str">
        <f t="shared" si="11"/>
        <v/>
      </c>
      <c r="K28" s="45" t="str">
        <f t="shared" si="8"/>
        <v/>
      </c>
      <c r="L28" s="45" t="str">
        <f t="shared" si="9"/>
        <v/>
      </c>
      <c r="M28" s="46">
        <v>715</v>
      </c>
      <c r="N28" s="47">
        <v>1.6</v>
      </c>
      <c r="O28" s="46" t="str">
        <f t="shared" si="0"/>
        <v/>
      </c>
      <c r="P28" s="46" t="str">
        <f t="shared" si="1"/>
        <v/>
      </c>
      <c r="Q28" s="48" t="str">
        <f t="shared" si="3"/>
        <v/>
      </c>
      <c r="R28" s="18" t="str">
        <f>IF(AND(COUNTBLANK(E28:H28)&lt;4,D28=""),"Fach auswählen!",IF(OR(B28=B$36,B28=B$37,B28=B$38),IF(COUNTIF(E28:H28,0)&gt;0,"0 Punkte  =&gt; nicht best.!",""),""))</f>
        <v/>
      </c>
      <c r="S28" s="49"/>
      <c r="U28" s="7"/>
      <c r="V28" s="7"/>
      <c r="W28" s="7"/>
      <c r="X28" s="7"/>
      <c r="Y28" s="7"/>
      <c r="Z28" s="7"/>
      <c r="AA28" s="7"/>
      <c r="AG28" s="7"/>
    </row>
    <row r="29" spans="1:33" s="23" customFormat="1" ht="15.95" hidden="1" customHeight="1" thickBot="1">
      <c r="A29" s="79"/>
      <c r="B29" s="171"/>
      <c r="C29" s="172"/>
      <c r="D29" s="27" t="str">
        <f>IF(B29=AD3,2,"")</f>
        <v/>
      </c>
      <c r="E29" s="75"/>
      <c r="F29" s="67"/>
      <c r="G29" s="67"/>
      <c r="H29" s="68"/>
      <c r="I29" s="31"/>
      <c r="J29" s="78" t="str">
        <f t="shared" si="11"/>
        <v/>
      </c>
      <c r="K29" s="45"/>
      <c r="L29" s="45"/>
      <c r="M29" s="46"/>
      <c r="N29" s="47"/>
      <c r="O29" s="46"/>
      <c r="P29" s="46"/>
      <c r="Q29" s="48"/>
      <c r="R29" s="18"/>
      <c r="S29" s="49"/>
      <c r="U29" s="7"/>
      <c r="V29" s="7"/>
      <c r="W29" s="7"/>
      <c r="X29" s="7"/>
      <c r="Y29" s="7"/>
      <c r="Z29" s="7"/>
      <c r="AA29" s="7"/>
      <c r="AG29" s="80"/>
    </row>
    <row r="30" spans="1:33" s="23" customFormat="1" ht="15.95" customHeight="1" thickBot="1">
      <c r="A30" s="173" t="s">
        <v>19</v>
      </c>
      <c r="B30" s="174"/>
      <c r="C30" s="175"/>
      <c r="D30" s="81">
        <f>SUM(D4:D29)</f>
        <v>30</v>
      </c>
      <c r="E30" s="183" t="s">
        <v>63</v>
      </c>
      <c r="F30" s="184"/>
      <c r="G30" s="184"/>
      <c r="H30" s="82">
        <f>COUNT(E4:H29)-COUNTIF(E4:H29,0)</f>
        <v>0</v>
      </c>
      <c r="I30" s="176" t="str">
        <f>IF(COUNTIF(J4:J29,2)&lt;3,"Faktor 3x auf 2 setzen!",IF(COUNTIF(J4:J29,2)&gt;3,"Faktor nur 3x auf 2 setzen!",""))</f>
        <v>Faktor 3x auf 2 setzen!</v>
      </c>
      <c r="J30" s="177"/>
      <c r="K30" s="177"/>
      <c r="L30" s="83"/>
      <c r="M30" s="46">
        <v>751</v>
      </c>
      <c r="N30" s="47">
        <v>1.4</v>
      </c>
      <c r="O30" s="46" t="str">
        <f t="shared" si="0"/>
        <v/>
      </c>
      <c r="P30" s="46" t="str">
        <f t="shared" si="1"/>
        <v/>
      </c>
      <c r="Q30" s="199" t="str">
        <f>IF(AND(J8=1,J9=1),"Ein profilgeb. Fach muss Faktor 2 haben.","")</f>
        <v/>
      </c>
      <c r="R30" s="18" t="str">
        <f>IF(AND(COUNTBLANK(E15:H15)&gt;0,COUNTBLANK(E20:H20)&gt;0),"4 N. in NW-Fach eintr.!",IF(OR(COUNTIF(E15:H15,0)&gt;0,COUNTIF(E20:H20,0)&gt;0),"0 Punkte  =&gt; nicht best.!",""))</f>
        <v>4 N. in NW-Fach eintr.!</v>
      </c>
      <c r="S30" s="86"/>
      <c r="U30" s="7"/>
      <c r="V30" s="7"/>
      <c r="W30" s="7"/>
      <c r="X30" s="7"/>
      <c r="Y30" s="7"/>
      <c r="Z30" s="7"/>
      <c r="AA30" s="7"/>
    </row>
    <row r="31" spans="1:33" ht="15.95" customHeight="1">
      <c r="A31" s="87"/>
      <c r="B31" s="48" t="str">
        <f>IF(OR(B20=B15,B24=B17),"Doppelbelegung!","")</f>
        <v/>
      </c>
      <c r="C31" s="137" t="str">
        <f>IF(D30&lt;34,"zu wenig Stunden/Semester","")</f>
        <v>zu wenig Stunden/Semester</v>
      </c>
      <c r="D31" s="137"/>
      <c r="E31" s="137"/>
      <c r="F31" s="103"/>
      <c r="G31" s="179" t="str">
        <f>IF(H30&lt;32,"zu wenig Kurse!","")</f>
        <v>zu wenig Kurse!</v>
      </c>
      <c r="H31" s="179"/>
      <c r="I31" s="178"/>
      <c r="J31" s="178"/>
      <c r="K31" s="178"/>
      <c r="L31" s="89"/>
      <c r="M31" s="33">
        <v>769</v>
      </c>
      <c r="N31" s="37">
        <v>1.3</v>
      </c>
      <c r="O31" s="33" t="str">
        <f t="shared" si="0"/>
        <v/>
      </c>
      <c r="P31" s="33" t="str">
        <f t="shared" si="1"/>
        <v/>
      </c>
      <c r="Q31" s="201"/>
      <c r="R31" s="18" t="str">
        <f>IF(AND(COUNTBLANK(E17:H17)&gt;0,COUNTBLANK(E24:H24)&gt;0),"4 N. in künstl. Fach eintr.!",IF(OR(COUNTIF(E17:H17,0)&gt;0,COUNTIF(E24:H24,0)&gt;0),"0 Punkte  =&gt; nicht best.!",""))</f>
        <v>4 N. in künstl. Fach eintr.!</v>
      </c>
    </row>
    <row r="32" spans="1:33" ht="15.95" customHeight="1" thickBot="1">
      <c r="A32" s="87"/>
      <c r="B32" s="103"/>
      <c r="C32" s="48"/>
      <c r="D32" s="48"/>
      <c r="E32" s="48"/>
      <c r="F32" s="179" t="str">
        <f>IF(COUNTIF(E4:H29,"&gt;15")&gt;0,"Notenwert(e) zu hoch!",IF(COUNTIF(E4:H29,"&lt;5")&gt;(H30/5),"zu viele Unterkurse!",""))</f>
        <v/>
      </c>
      <c r="G32" s="180"/>
      <c r="H32" s="180"/>
      <c r="I32" s="91"/>
      <c r="J32" s="91"/>
      <c r="K32" s="91"/>
      <c r="L32" s="89"/>
      <c r="M32" s="33">
        <v>787</v>
      </c>
      <c r="N32" s="37">
        <v>1.2</v>
      </c>
      <c r="O32" s="33" t="str">
        <f t="shared" si="0"/>
        <v/>
      </c>
      <c r="P32" s="33" t="str">
        <f t="shared" si="1"/>
        <v/>
      </c>
      <c r="Q32" s="137" t="str">
        <f>IF(AND(COUNTBLANK(E10:H10)&gt;0,COUNTBLANK(E14:H14)&gt;0,COUNTBLANK(E26:H26)&gt;0,COUNTBLANK(E29:H29)&gt;0),"4 Noten in PGW, Geschichte oder Geo eintragen!",IF(OR(COUNTIF(E10:H10,0)&gt;0,COUNTIF(E14:H14,0)&gt;0,COUNTIF(E26:H26,0)&gt;0,COUNTIF(E29:H29,0)&gt;0),"0 Punkte  =&gt; nicht best.!",""))</f>
        <v>4 Noten in PGW, Geschichte oder Geo eintragen!</v>
      </c>
      <c r="R32" s="138"/>
    </row>
    <row r="33" spans="1:18" ht="15.95" customHeight="1" thickBot="1">
      <c r="A33" s="1" t="s">
        <v>67</v>
      </c>
      <c r="B33" s="92"/>
      <c r="C33" s="92"/>
      <c r="D33" s="92"/>
      <c r="E33" s="103"/>
      <c r="F33" s="103"/>
      <c r="G33" s="103"/>
      <c r="H33" s="103"/>
      <c r="I33" s="89"/>
      <c r="J33" s="89"/>
      <c r="K33" s="89"/>
      <c r="L33" s="89"/>
      <c r="M33" s="33">
        <v>805</v>
      </c>
      <c r="N33" s="37">
        <v>1.1000000000000001</v>
      </c>
      <c r="O33" s="33" t="str">
        <f>IF(P34&lt;&gt;"","",IF($F$38&gt;=M33,N33,""))</f>
        <v/>
      </c>
      <c r="P33" s="33" t="str">
        <f>O33&amp;""&amp;P34</f>
        <v/>
      </c>
      <c r="Q33" s="82"/>
      <c r="R33" s="90"/>
    </row>
    <row r="34" spans="1:18" ht="15.95" customHeight="1" thickBot="1">
      <c r="A34" s="93"/>
      <c r="B34" s="92"/>
      <c r="C34" s="94" t="s">
        <v>4</v>
      </c>
      <c r="D34" s="94" t="s">
        <v>73</v>
      </c>
      <c r="E34" s="103"/>
      <c r="F34" s="181" t="s">
        <v>74</v>
      </c>
      <c r="G34" s="182"/>
      <c r="H34" s="103"/>
      <c r="I34" s="181" t="s">
        <v>76</v>
      </c>
      <c r="J34" s="182"/>
      <c r="K34" s="89"/>
      <c r="L34" s="89"/>
      <c r="M34" s="33">
        <v>823</v>
      </c>
      <c r="N34" s="34">
        <v>1</v>
      </c>
      <c r="O34" s="33" t="str">
        <f>IF($F$38&gt;=M34,N34,"")</f>
        <v/>
      </c>
      <c r="P34" s="33" t="str">
        <f>O34</f>
        <v/>
      </c>
      <c r="Q34" s="82"/>
      <c r="R34" s="90"/>
    </row>
    <row r="35" spans="1:18" ht="15.95" customHeight="1" thickBot="1">
      <c r="A35" s="93" t="s">
        <v>68</v>
      </c>
      <c r="B35" s="95" t="s">
        <v>72</v>
      </c>
      <c r="C35" s="96" t="s">
        <v>64</v>
      </c>
      <c r="D35" s="97"/>
      <c r="E35" s="103"/>
      <c r="F35" s="185">
        <f>5*SUM(D35:D38)</f>
        <v>0</v>
      </c>
      <c r="G35" s="186"/>
      <c r="H35" s="103"/>
      <c r="I35" s="185" t="str">
        <f>IF(SUM(K4:K29)=0,"0",ROUND(SUM(K4:K29)/SUM(L4:L29)*40,0))</f>
        <v>0</v>
      </c>
      <c r="J35" s="186"/>
      <c r="K35" s="89"/>
      <c r="L35" s="89"/>
      <c r="M35" s="33"/>
      <c r="N35" s="98"/>
      <c r="O35" s="33"/>
      <c r="P35" s="33" t="str">
        <f>P34&amp;""&amp;O35</f>
        <v/>
      </c>
      <c r="Q35" s="82"/>
      <c r="R35" s="18"/>
    </row>
    <row r="36" spans="1:18" ht="15.95" customHeight="1" thickBot="1">
      <c r="A36" s="93" t="s">
        <v>69</v>
      </c>
      <c r="B36" s="99"/>
      <c r="C36" s="96" t="s">
        <v>64</v>
      </c>
      <c r="D36" s="97"/>
      <c r="E36" s="103"/>
      <c r="F36" s="191" t="str">
        <f>IF(F35&lt;100,"nicht best. (&lt;100P.)","")</f>
        <v>nicht best. (&lt;100P.)</v>
      </c>
      <c r="G36" s="191"/>
      <c r="H36" s="103"/>
      <c r="I36" s="191" t="str">
        <f>IF(I35&lt;200,"nicht best. (&lt;200P.)","")</f>
        <v/>
      </c>
      <c r="J36" s="191"/>
      <c r="K36" s="89"/>
      <c r="L36" s="89"/>
      <c r="M36" s="33"/>
      <c r="N36" s="98"/>
      <c r="O36" s="33"/>
      <c r="P36" s="33"/>
      <c r="Q36" s="82"/>
      <c r="R36" s="18"/>
    </row>
    <row r="37" spans="1:18" ht="15.95" customHeight="1" thickBot="1">
      <c r="A37" s="93" t="s">
        <v>70</v>
      </c>
      <c r="B37" s="99"/>
      <c r="C37" s="100" t="s">
        <v>66</v>
      </c>
      <c r="D37" s="97"/>
      <c r="E37" s="103"/>
      <c r="F37" s="181" t="s">
        <v>78</v>
      </c>
      <c r="G37" s="182"/>
      <c r="H37" s="103"/>
      <c r="I37" s="192" t="s">
        <v>79</v>
      </c>
      <c r="J37" s="193"/>
      <c r="K37" s="89"/>
      <c r="L37" s="89"/>
      <c r="M37" s="89"/>
      <c r="N37" s="89"/>
      <c r="O37" s="89"/>
      <c r="P37" s="89"/>
      <c r="Q37" s="82"/>
      <c r="R37" s="18"/>
    </row>
    <row r="38" spans="1:18" ht="15.95" customHeight="1" thickBot="1">
      <c r="A38" s="93" t="s">
        <v>71</v>
      </c>
      <c r="B38" s="99"/>
      <c r="C38" s="100" t="s">
        <v>66</v>
      </c>
      <c r="D38" s="97"/>
      <c r="E38" s="103"/>
      <c r="F38" s="185">
        <f>F35+I35</f>
        <v>0</v>
      </c>
      <c r="G38" s="186"/>
      <c r="H38" s="103"/>
      <c r="I38" s="194" t="str">
        <f>IF(AND(A39="",A40="",A41="",A42="",A43="",B39="",B40="",B41="",B42="",B43="",C39="",C40="",F36="",I36="",G31="",I30="",Q3="",Q4="",Q5="",Q6="",Q7="",Q8="",Q9="",Q10="",Q11="",Q12="",Q13="",Q14="",Q15="",Q16="",Q17="",Q18="",Q19="",Q20="",Q21="",Q22="",Q23="",Q24="",Q25="",Q26="",Q27="",Q28="",Q30="",Q32="",R3="",R4="",R5="",R8="",R9="",R10="",R11="",R12="",R13="",R14="",R15="",R16="",R17="",R18="",R19="",R20="",R21="",R22="",R23="",R24="",R25="",R26="",R27="",R28="",R30="",R31=""),P4,"Fehler vorhanden")</f>
        <v>Fehler vorhanden</v>
      </c>
      <c r="J38" s="195"/>
      <c r="K38" s="89"/>
      <c r="L38" s="89"/>
      <c r="M38" s="89"/>
      <c r="N38" s="89"/>
      <c r="O38" s="89"/>
      <c r="P38" s="89"/>
      <c r="Q38" s="82"/>
      <c r="R38" s="18" t="str">
        <f>IF(COUNTIF(C35:C37,"EN")&lt;2,"mind. 2x EN wählen!","")</f>
        <v/>
      </c>
    </row>
    <row r="39" spans="1:18" ht="15.95" customHeight="1">
      <c r="A39" s="93"/>
      <c r="B39" s="102" t="str">
        <f>IF(COUNTIF(B35:B38,"Deutsch")+COUNTIF(B35:B38,"Mathematik")+COUNTIF(B35:B38,"Englisch")+COUNTIF(B35:B38,"Spanisch")+COUNTIF(B35:B38,"Französisch")+COUNTIF(B35:B38,"Latein")&lt;2,"2 Kernfächer wählen!",IF(OR(B35=B36,B35=B37,B35=B38,B36=B37,B36=B38,B37=B38),"versch. Fächer wählen!",""))</f>
        <v>2 Kernfächer wählen!</v>
      </c>
      <c r="C39" s="187" t="str">
        <f>IF(COUNTIF(D35:D38,"&lt;5")&gt;2,"nicht best. (3-4mal &lt; 5 P.)","")</f>
        <v/>
      </c>
      <c r="D39" s="188"/>
      <c r="E39" s="188"/>
      <c r="F39" s="189"/>
      <c r="G39" s="189"/>
      <c r="H39" s="103"/>
      <c r="I39" s="89"/>
      <c r="J39" s="89"/>
      <c r="K39" s="89"/>
      <c r="L39" s="89"/>
      <c r="M39" s="89"/>
      <c r="N39" s="89"/>
      <c r="O39" s="89"/>
      <c r="P39" s="89"/>
      <c r="Q39" s="82"/>
      <c r="R39" s="90"/>
    </row>
    <row r="40" spans="1:18" ht="15.95" customHeight="1">
      <c r="A40" s="104" t="str">
        <f>IF(COUNTIF(B$4:B$29,B35)=1,"","1. Prüfungsfach in Block 1 nicht belegt!")</f>
        <v>1. Prüfungsfach in Block 1 nicht belegt!</v>
      </c>
      <c r="B40" s="105" t="str">
        <f>IF(COUNTIF(B35:B38,"Deutsch")+COUNTIF(B35:B38,"Englisch")+COUNTIF(B35:B38,"Spanisch")+COUNTIF(B35:B38,"Französisch")+COUNTIF(B35:B38,"Latein")+COUNTIF(B35:B38,"Kunst")+COUNTIF(B35:B38,"Musik")+COUNTIF(B35:B38,DSP)=0,"1. Aufgabenfeld fehlt!","")</f>
        <v>1. Aufgabenfeld fehlt!</v>
      </c>
      <c r="C40" s="187" t="str">
        <f>IF(OR(D35&gt;45,D36&gt;4),"",IF(AND(C37="EN",D37&gt;4),"",IF(AND(C38="EN",D38&gt;4),"","nicht bestanden (EN &lt; 5 P.)")))</f>
        <v>nicht bestanden (EN &lt; 5 P.)</v>
      </c>
      <c r="D40" s="190"/>
      <c r="E40" s="190"/>
      <c r="F40" s="103"/>
      <c r="G40" s="103"/>
      <c r="H40" s="103"/>
      <c r="I40" s="89"/>
      <c r="J40" s="89"/>
      <c r="K40" s="89"/>
      <c r="L40" s="89"/>
      <c r="M40" s="89"/>
      <c r="N40" s="89"/>
      <c r="O40" s="89"/>
      <c r="P40" s="89"/>
      <c r="Q40" s="82"/>
      <c r="R40" s="90"/>
    </row>
    <row r="41" spans="1:18" ht="15.95" customHeight="1">
      <c r="A41" s="104" t="str">
        <f>IF(COUNTIF(B$4:B$29,B36)=1,"","2. Prüfungsfach in Block 1 nicht belegt!")</f>
        <v>2. Prüfungsfach in Block 1 nicht belegt!</v>
      </c>
      <c r="B41" s="105" t="str">
        <f>IF(COUNTIF(B35:B38,"PGW")+COUNTIF(B35:B38,"Geschichte")+COUNTIF(B35:B38,"Geographie")+COUNTIF(B35:B38,"Religion")+COUNTIF(B35:B38,"Philosophie")+COUNTIF(B35:B38,"Pädagogik")+COUNTIF(B35:B38,"Psychologie")=0,"2. Aufgabenfeld fehlt!","")</f>
        <v>2. Aufgabenfeld fehlt!</v>
      </c>
      <c r="C41" s="106"/>
      <c r="D41" s="106"/>
      <c r="E41" s="106"/>
      <c r="F41" s="103"/>
      <c r="G41" s="103"/>
      <c r="H41" s="103"/>
      <c r="I41" s="89"/>
      <c r="J41" s="89"/>
      <c r="K41" s="89"/>
      <c r="L41" s="89"/>
      <c r="M41" s="89"/>
      <c r="N41" s="89"/>
      <c r="O41" s="89"/>
      <c r="P41" s="89"/>
      <c r="Q41" s="82"/>
      <c r="R41" s="90"/>
    </row>
    <row r="42" spans="1:18" ht="15.95" customHeight="1">
      <c r="A42" s="104" t="str">
        <f>IF(COUNTIF(B$4:B$29,B37)=1,"","3. Prüfungsfach in Block 1 nicht belegt!")</f>
        <v>3. Prüfungsfach in Block 1 nicht belegt!</v>
      </c>
      <c r="B42" s="105" t="str">
        <f>IF(COUNTIF(B35:B38,"Mathematik")+COUNTIF(B35:B38,"Biologie")+COUNTIF(B35:B38,"Chemie")+COUNTIF(B35:B38,"Physik")+COUNTIF(B35:B38,"Informatik")=0,"3. Aufgabenfeld fehlt!","")</f>
        <v>3. Aufgabenfeld fehlt!</v>
      </c>
      <c r="C42" s="92"/>
      <c r="D42" s="92"/>
      <c r="E42" s="103"/>
      <c r="F42" s="103"/>
      <c r="G42" s="103"/>
      <c r="H42" s="103"/>
      <c r="I42" s="89"/>
      <c r="J42" s="89"/>
      <c r="K42" s="89"/>
      <c r="L42" s="89"/>
      <c r="M42" s="89"/>
      <c r="N42" s="89"/>
      <c r="O42" s="89"/>
      <c r="P42" s="89"/>
      <c r="Q42" s="82"/>
      <c r="R42" s="90"/>
    </row>
    <row r="43" spans="1:18" ht="15.95" customHeight="1" thickBot="1">
      <c r="A43" s="107" t="str">
        <f>IF(COUNTIF(B$4:B$29,B38)=1,"","4. Prüfungsfach in Block 1 nicht belegt!")</f>
        <v>4. Prüfungsfach in Block 1 nicht belegt!</v>
      </c>
      <c r="B43" s="108" t="str">
        <f>IF(COUNTIF(B35:B38,B8)=0,"profilgeb. Fach fehlt!","")</f>
        <v>profilgeb. Fach fehlt!</v>
      </c>
      <c r="C43" s="109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1"/>
      <c r="R43" s="112"/>
    </row>
  </sheetData>
  <mergeCells count="50">
    <mergeCell ref="B14:C14"/>
    <mergeCell ref="C1:I1"/>
    <mergeCell ref="Q2:R2"/>
    <mergeCell ref="O3:P3"/>
    <mergeCell ref="A4:A6"/>
    <mergeCell ref="B7:C7"/>
    <mergeCell ref="Q7:R7"/>
    <mergeCell ref="B10:C10"/>
    <mergeCell ref="B11:C11"/>
    <mergeCell ref="B12:C12"/>
    <mergeCell ref="Q12:R12"/>
    <mergeCell ref="B13:C13"/>
    <mergeCell ref="B24:C24"/>
    <mergeCell ref="B15:C15"/>
    <mergeCell ref="B16:C16"/>
    <mergeCell ref="B17:C17"/>
    <mergeCell ref="B18:C18"/>
    <mergeCell ref="B19:C19"/>
    <mergeCell ref="B20:C20"/>
    <mergeCell ref="B21:C23"/>
    <mergeCell ref="E21:E23"/>
    <mergeCell ref="F21:F23"/>
    <mergeCell ref="G21:G23"/>
    <mergeCell ref="H21:H23"/>
    <mergeCell ref="F32:H32"/>
    <mergeCell ref="Q32:R32"/>
    <mergeCell ref="B25:C25"/>
    <mergeCell ref="B26:C26"/>
    <mergeCell ref="B27:C27"/>
    <mergeCell ref="B28:C28"/>
    <mergeCell ref="B29:C29"/>
    <mergeCell ref="A30:C30"/>
    <mergeCell ref="E30:G30"/>
    <mergeCell ref="I30:K31"/>
    <mergeCell ref="Q30:Q31"/>
    <mergeCell ref="C31:E31"/>
    <mergeCell ref="G31:H31"/>
    <mergeCell ref="F34:G34"/>
    <mergeCell ref="I34:J34"/>
    <mergeCell ref="F35:G35"/>
    <mergeCell ref="I35:J35"/>
    <mergeCell ref="F36:G36"/>
    <mergeCell ref="I36:J36"/>
    <mergeCell ref="C40:E40"/>
    <mergeCell ref="F37:G37"/>
    <mergeCell ref="I37:J37"/>
    <mergeCell ref="F38:G38"/>
    <mergeCell ref="I38:J38"/>
    <mergeCell ref="C39:E39"/>
    <mergeCell ref="F39:G39"/>
  </mergeCells>
  <dataValidations count="18">
    <dataValidation type="list" allowBlank="1" showInputMessage="1" showErrorMessage="1" sqref="C37:C38">
      <formula1>$AE$3:$AE$4</formula1>
    </dataValidation>
    <dataValidation type="list" showInputMessage="1" showErrorMessage="1" sqref="B14:C14">
      <formula1>$AB$3:$AB$4</formula1>
    </dataValidation>
    <dataValidation type="list" showInputMessage="1" showErrorMessage="1" sqref="B17:C17">
      <formula1>$Y$3:$Y$5</formula1>
    </dataValidation>
    <dataValidation type="list" allowBlank="1" showInputMessage="1" showErrorMessage="1" sqref="B29:C29">
      <formula1>$AD$3:$AD$5</formula1>
    </dataValidation>
    <dataValidation type="list" showInputMessage="1" showErrorMessage="1" sqref="B5">
      <formula1>T3:T6</formula1>
    </dataValidation>
    <dataValidation type="list" showInputMessage="1" showErrorMessage="1" sqref="B15:C15">
      <formula1>$V$3:$V$5</formula1>
    </dataValidation>
    <dataValidation type="list" showInputMessage="1" showErrorMessage="1" sqref="B16:C16">
      <formula1>$U$3:$U$4</formula1>
    </dataValidation>
    <dataValidation type="list" allowBlank="1" showInputMessage="1" showErrorMessage="1" sqref="B20:C20">
      <formula1>$V$3:$V$6</formula1>
    </dataValidation>
    <dataValidation type="list" allowBlank="1" showInputMessage="1" showErrorMessage="1" sqref="B25:C25">
      <formula1>$Z$3:$Z$6</formula1>
    </dataValidation>
    <dataValidation type="list" allowBlank="1" showInputMessage="1" showErrorMessage="1" sqref="B28:C28">
      <formula1>$AC$3:$AC$4</formula1>
    </dataValidation>
    <dataValidation type="list" allowBlank="1" showInputMessage="1" showErrorMessage="1" sqref="B27:C27">
      <formula1>$AA$3:$AA$5</formula1>
    </dataValidation>
    <dataValidation type="list" allowBlank="1" showInputMessage="1" showErrorMessage="1" sqref="B26:C26">
      <formula1>$AB$4:$AB$5</formula1>
    </dataValidation>
    <dataValidation type="list" allowBlank="1" showInputMessage="1" showErrorMessage="1" sqref="B21:B23">
      <formula1>$W$3:$W$11</formula1>
    </dataValidation>
    <dataValidation type="list" allowBlank="1" showInputMessage="1" showErrorMessage="1" sqref="B24:C24">
      <formula1>$Y$3:$Y$6</formula1>
    </dataValidation>
    <dataValidation type="list" showInputMessage="1" showErrorMessage="1" sqref="B35">
      <formula1>$T$9:$T$14</formula1>
    </dataValidation>
    <dataValidation type="list" showInputMessage="1" showErrorMessage="1" sqref="C4:C6">
      <formula1>$AE$3:$AE$4</formula1>
    </dataValidation>
    <dataValidation type="list" showInputMessage="1" showErrorMessage="1" sqref="J8:J9 J15 J4:J6 J20:J21">
      <formula1>$AF$3:$AF$4</formula1>
    </dataValidation>
    <dataValidation type="list" showInputMessage="1" showErrorMessage="1" sqref="B36:B38">
      <formula1>$AG$3:$AG$21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43"/>
  <sheetViews>
    <sheetView workbookViewId="0"/>
  </sheetViews>
  <sheetFormatPr baseColWidth="10" defaultRowHeight="15.95" customHeight="1"/>
  <cols>
    <col min="1" max="1" width="47.140625" style="8" customWidth="1"/>
    <col min="2" max="2" width="20.5703125" style="8" customWidth="1"/>
    <col min="3" max="10" width="8.7109375" style="8" customWidth="1"/>
    <col min="11" max="16" width="8.7109375" style="8" hidden="1" customWidth="1"/>
    <col min="17" max="17" width="23" style="6" customWidth="1"/>
    <col min="18" max="18" width="22.5703125" style="6" customWidth="1"/>
    <col min="19" max="19" width="16" style="6" hidden="1" customWidth="1"/>
    <col min="20" max="21" width="10.42578125" style="7" hidden="1" customWidth="1"/>
    <col min="22" max="22" width="8.5703125" style="7" hidden="1" customWidth="1"/>
    <col min="23" max="23" width="12.140625" style="7" hidden="1" customWidth="1"/>
    <col min="24" max="24" width="11.42578125" style="7" hidden="1" customWidth="1"/>
    <col min="25" max="25" width="7.28515625" style="7" hidden="1" customWidth="1"/>
    <col min="26" max="26" width="9.28515625" style="7" hidden="1" customWidth="1"/>
    <col min="27" max="27" width="19.28515625" style="7" hidden="1" customWidth="1"/>
    <col min="28" max="30" width="11.42578125" style="8" hidden="1" customWidth="1"/>
    <col min="31" max="31" width="3.85546875" style="8" hidden="1" customWidth="1"/>
    <col min="32" max="32" width="3.42578125" style="8" hidden="1" customWidth="1"/>
    <col min="33" max="33" width="11.42578125" style="8" hidden="1" customWidth="1"/>
    <col min="34" max="16384" width="11.42578125" style="8"/>
  </cols>
  <sheetData>
    <row r="1" spans="1:33" ht="15.95" customHeight="1" thickBot="1">
      <c r="A1" s="1" t="s">
        <v>82</v>
      </c>
      <c r="B1" s="2"/>
      <c r="C1" s="139" t="s">
        <v>87</v>
      </c>
      <c r="D1" s="139"/>
      <c r="E1" s="139"/>
      <c r="F1" s="139"/>
      <c r="G1" s="139"/>
      <c r="H1" s="139"/>
      <c r="I1" s="140"/>
      <c r="J1" s="2"/>
      <c r="K1" s="2"/>
      <c r="L1" s="2"/>
      <c r="M1" s="2"/>
      <c r="N1" s="2"/>
      <c r="O1" s="2"/>
      <c r="P1" s="2"/>
      <c r="Q1" s="4"/>
      <c r="R1" s="5"/>
    </row>
    <row r="2" spans="1:33" ht="15.95" customHeight="1" thickBot="1">
      <c r="A2" s="9"/>
      <c r="B2" s="10"/>
      <c r="C2" s="10"/>
      <c r="D2" s="10"/>
      <c r="E2" s="10"/>
      <c r="F2" s="10"/>
      <c r="G2" s="10"/>
      <c r="H2" s="10"/>
      <c r="Q2" s="143" t="str">
        <f>IF(I38="Fehler vorhanden","Fehlermeldungen","")</f>
        <v>Fehlermeldungen</v>
      </c>
      <c r="R2" s="144"/>
    </row>
    <row r="3" spans="1:33" s="23" customFormat="1" ht="15.95" customHeight="1" thickBot="1">
      <c r="A3" s="11" t="s">
        <v>3</v>
      </c>
      <c r="B3" s="12"/>
      <c r="C3" s="11" t="s">
        <v>4</v>
      </c>
      <c r="D3" s="13" t="s">
        <v>5</v>
      </c>
      <c r="E3" s="14" t="s">
        <v>59</v>
      </c>
      <c r="F3" s="11" t="s">
        <v>60</v>
      </c>
      <c r="G3" s="11" t="s">
        <v>61</v>
      </c>
      <c r="H3" s="135" t="s">
        <v>61</v>
      </c>
      <c r="I3" s="14" t="s">
        <v>0</v>
      </c>
      <c r="J3" s="11" t="s">
        <v>62</v>
      </c>
      <c r="K3" s="15" t="s">
        <v>75</v>
      </c>
      <c r="L3" s="15" t="s">
        <v>77</v>
      </c>
      <c r="M3" s="16" t="s">
        <v>1</v>
      </c>
      <c r="N3" s="16" t="s">
        <v>2</v>
      </c>
      <c r="O3" s="145" t="s">
        <v>80</v>
      </c>
      <c r="P3" s="145"/>
      <c r="Q3" s="17"/>
      <c r="R3" s="18" t="str">
        <f>IF(COUNTIF(C4:C6,"EN")&lt;2,"mind. 2x EN wählen!","")</f>
        <v>mind. 2x EN wählen!</v>
      </c>
      <c r="S3" s="19" t="s">
        <v>83</v>
      </c>
      <c r="T3" s="20" t="s">
        <v>20</v>
      </c>
      <c r="U3" s="7" t="s">
        <v>23</v>
      </c>
      <c r="V3" s="7" t="s">
        <v>25</v>
      </c>
      <c r="W3" s="20" t="s">
        <v>20</v>
      </c>
      <c r="X3" s="7" t="s">
        <v>30</v>
      </c>
      <c r="Y3" s="7" t="s">
        <v>33</v>
      </c>
      <c r="Z3" s="7" t="s">
        <v>35</v>
      </c>
      <c r="AA3" s="7" t="s">
        <v>32</v>
      </c>
      <c r="AB3" s="21" t="s">
        <v>9</v>
      </c>
      <c r="AC3" s="7" t="s">
        <v>39</v>
      </c>
      <c r="AD3" s="22" t="s">
        <v>9</v>
      </c>
      <c r="AE3" s="7" t="s">
        <v>64</v>
      </c>
      <c r="AF3" s="23">
        <v>1</v>
      </c>
      <c r="AG3" s="24" t="s">
        <v>6</v>
      </c>
    </row>
    <row r="4" spans="1:33" s="23" customFormat="1" ht="15.95" customHeight="1" thickBot="1">
      <c r="A4" s="156" t="s">
        <v>81</v>
      </c>
      <c r="B4" s="25" t="s">
        <v>6</v>
      </c>
      <c r="C4" s="26" t="s">
        <v>66</v>
      </c>
      <c r="D4" s="27">
        <v>4</v>
      </c>
      <c r="E4" s="28"/>
      <c r="F4" s="29"/>
      <c r="G4" s="29"/>
      <c r="H4" s="30"/>
      <c r="I4" s="31">
        <f>SUM(E4:H4)</f>
        <v>0</v>
      </c>
      <c r="J4" s="29">
        <f>IF(AND(C4="EN",OR(B4=B$35,B4=B$36,B4=B$37)),2,1)</f>
        <v>1</v>
      </c>
      <c r="K4" s="32">
        <f>IF(OR(J4=1,J4=2),I4*J4,"")</f>
        <v>0</v>
      </c>
      <c r="L4" s="32">
        <f>COUNT(E4:H4)*J4</f>
        <v>0</v>
      </c>
      <c r="M4" s="33">
        <v>300</v>
      </c>
      <c r="N4" s="34">
        <v>4</v>
      </c>
      <c r="O4" s="33" t="str">
        <f t="shared" ref="O4:O32" si="0">IF(P5&lt;&gt;"","",IF($F$38&gt;=M4,N4,""))</f>
        <v/>
      </c>
      <c r="P4" s="33" t="str">
        <f t="shared" ref="P4:P32" si="1">O4&amp;""&amp;P5</f>
        <v/>
      </c>
      <c r="Q4" s="17" t="str">
        <f>IF(COUNTBLANK(E4:H4)&gt;0,"Alle 4 Noten eintragen!",IF(COUNTIF(E4:H4,0)&gt;0,"0 Punkte  =&gt; nicht best.!",""))</f>
        <v>Alle 4 Noten eintragen!</v>
      </c>
      <c r="R4" s="18" t="str">
        <f>IF(C4="Niveau?","Niveau wählen!","")</f>
        <v>Niveau wählen!</v>
      </c>
      <c r="S4" s="35" t="str">
        <f>IF(J4=2,IF(AND(OR(B4=B$35,B4=B$36,B4=B$37),C4="EN"),"ja","nein"),"")</f>
        <v/>
      </c>
      <c r="T4" s="7" t="s">
        <v>21</v>
      </c>
      <c r="U4" s="7" t="s">
        <v>24</v>
      </c>
      <c r="V4" s="7" t="s">
        <v>26</v>
      </c>
      <c r="W4" s="7" t="s">
        <v>21</v>
      </c>
      <c r="X4" s="7" t="s">
        <v>31</v>
      </c>
      <c r="Y4" s="7" t="s">
        <v>49</v>
      </c>
      <c r="Z4" s="7" t="s">
        <v>36</v>
      </c>
      <c r="AA4" s="7" t="s">
        <v>38</v>
      </c>
      <c r="AB4" s="7" t="s">
        <v>41</v>
      </c>
      <c r="AC4" s="7" t="s">
        <v>42</v>
      </c>
      <c r="AD4" s="22" t="s">
        <v>11</v>
      </c>
      <c r="AE4" s="7" t="s">
        <v>65</v>
      </c>
      <c r="AF4" s="23">
        <v>2</v>
      </c>
      <c r="AG4" s="7" t="s">
        <v>7</v>
      </c>
    </row>
    <row r="5" spans="1:33" s="23" customFormat="1" ht="15.95" customHeight="1" thickBot="1">
      <c r="A5" s="157"/>
      <c r="B5" s="36" t="s">
        <v>84</v>
      </c>
      <c r="C5" s="26" t="s">
        <v>66</v>
      </c>
      <c r="D5" s="27">
        <v>4</v>
      </c>
      <c r="E5" s="28"/>
      <c r="F5" s="29"/>
      <c r="G5" s="29"/>
      <c r="H5" s="30"/>
      <c r="I5" s="31">
        <f>SUM(E5:H5)</f>
        <v>0</v>
      </c>
      <c r="J5" s="29">
        <f>IF(AND(C5="EN",OR(B5=B$35,B5=B$36,B5=B$37)),2,1)</f>
        <v>1</v>
      </c>
      <c r="K5" s="32">
        <f>IF(OR(J5=1,J5=2),I5*J5,"")</f>
        <v>0</v>
      </c>
      <c r="L5" s="32">
        <f>COUNT(E5:H5)*J5</f>
        <v>0</v>
      </c>
      <c r="M5" s="33">
        <v>301</v>
      </c>
      <c r="N5" s="37">
        <v>3.9</v>
      </c>
      <c r="O5" s="33" t="str">
        <f t="shared" si="0"/>
        <v/>
      </c>
      <c r="P5" s="33" t="str">
        <f t="shared" si="1"/>
        <v/>
      </c>
      <c r="Q5" s="17" t="str">
        <f>IF(COUNTBLANK(E5:H5)&gt;0,"Alle 4 Noten eintragen!",IF(COUNTIF(E5:H5,0)&gt;0,"0 Punkte  =&gt; nicht best.!",""))</f>
        <v>Alle 4 Noten eintragen!</v>
      </c>
      <c r="R5" s="18" t="str">
        <f>IF(C5="Niveau?","Niveau wählen!","")</f>
        <v>Niveau wählen!</v>
      </c>
      <c r="S5" s="35" t="str">
        <f t="shared" ref="S5:S6" si="2">IF(J5=2,IF(AND(OR(B5=B$35,B5=B$36,B5=B$37),C5="EN"),"ja","nein"),"")</f>
        <v/>
      </c>
      <c r="T5" s="24" t="s">
        <v>28</v>
      </c>
      <c r="U5" s="7"/>
      <c r="V5" s="7" t="s">
        <v>27</v>
      </c>
      <c r="W5" s="24" t="s">
        <v>28</v>
      </c>
      <c r="X5" s="7" t="s">
        <v>32</v>
      </c>
      <c r="Y5" s="7" t="s">
        <v>34</v>
      </c>
      <c r="Z5" s="7" t="s">
        <v>37</v>
      </c>
      <c r="AA5" s="7" t="s">
        <v>42</v>
      </c>
      <c r="AB5" s="7" t="s">
        <v>42</v>
      </c>
      <c r="AD5" s="22" t="s">
        <v>42</v>
      </c>
      <c r="AG5" s="20" t="s">
        <v>20</v>
      </c>
    </row>
    <row r="6" spans="1:33" s="23" customFormat="1" ht="15.95" customHeight="1" thickBot="1">
      <c r="A6" s="158"/>
      <c r="B6" s="25" t="s">
        <v>7</v>
      </c>
      <c r="C6" s="26" t="s">
        <v>66</v>
      </c>
      <c r="D6" s="27">
        <v>4</v>
      </c>
      <c r="E6" s="28"/>
      <c r="F6" s="29"/>
      <c r="G6" s="29"/>
      <c r="H6" s="30"/>
      <c r="I6" s="31">
        <f>SUM(E6:H6)</f>
        <v>0</v>
      </c>
      <c r="J6" s="29">
        <f>IF(AND(C6="EN",OR(B6=B$35,B6=B$36,B6=B$37)),2,1)</f>
        <v>1</v>
      </c>
      <c r="K6" s="32">
        <f>IF(OR(J6=1,J6=2),I6*J6,"")</f>
        <v>0</v>
      </c>
      <c r="L6" s="32">
        <f>COUNT(E6:H6)*J6</f>
        <v>0</v>
      </c>
      <c r="M6" s="33">
        <v>319</v>
      </c>
      <c r="N6" s="37">
        <v>3.8</v>
      </c>
      <c r="O6" s="33" t="str">
        <f t="shared" si="0"/>
        <v/>
      </c>
      <c r="P6" s="33" t="str">
        <f t="shared" si="1"/>
        <v/>
      </c>
      <c r="Q6" s="17" t="str">
        <f>IF(COUNTBLANK(E6:H6)&gt;0,"Alle 4 Noten eintragen!",IF(COUNTIF(E6:H6,0)&gt;0,"0 Punkte  =&gt; nicht best.!",""))</f>
        <v>Alle 4 Noten eintragen!</v>
      </c>
      <c r="R6" s="18" t="str">
        <f>IF(C6="Niveau?","Niveau wählen!","")</f>
        <v>Niveau wählen!</v>
      </c>
      <c r="S6" s="35" t="str">
        <f t="shared" si="2"/>
        <v/>
      </c>
      <c r="T6" s="7" t="s">
        <v>22</v>
      </c>
      <c r="U6" s="7"/>
      <c r="V6" s="7" t="s">
        <v>42</v>
      </c>
      <c r="W6" s="7" t="s">
        <v>22</v>
      </c>
      <c r="X6" s="7" t="s">
        <v>42</v>
      </c>
      <c r="Y6" s="7" t="s">
        <v>42</v>
      </c>
      <c r="Z6" s="7" t="s">
        <v>42</v>
      </c>
      <c r="AA6" s="7"/>
      <c r="AG6" s="7" t="s">
        <v>21</v>
      </c>
    </row>
    <row r="7" spans="1:33" s="23" customFormat="1" ht="15.95" customHeight="1" thickBot="1">
      <c r="A7" s="38" t="s">
        <v>8</v>
      </c>
      <c r="B7" s="148"/>
      <c r="C7" s="149"/>
      <c r="D7" s="40"/>
      <c r="E7" s="41"/>
      <c r="F7" s="42"/>
      <c r="G7" s="42"/>
      <c r="H7" s="43"/>
      <c r="I7" s="44"/>
      <c r="J7" s="42"/>
      <c r="K7" s="45"/>
      <c r="L7" s="45"/>
      <c r="M7" s="46">
        <v>337</v>
      </c>
      <c r="N7" s="47">
        <v>3.7</v>
      </c>
      <c r="O7" s="46" t="str">
        <f t="shared" si="0"/>
        <v/>
      </c>
      <c r="P7" s="46" t="str">
        <f t="shared" si="1"/>
        <v/>
      </c>
      <c r="Q7" s="137" t="str">
        <f>IF(COUNTIF(J4:J6,2)=0,"Faktor e. EN-Kern- u. schr. Pr.fachs muss 2 sein!",IF(AND(COUNTIF(J4:J6,2)=1,S7=1),"Faktor e. EN-Kern u. schr. Pr.fachs muss 2 sein!",IF(AND(COUNTIF(J4:J6,2)=2,S7=2),"Faktor e. EN-Kern u. schr. Pr.fachs muss 2 sein!",IF(AND(COUNTIF(J4:J6,2)=3,S7=3),"Faktor e. EN-Kern u. schr. Pr.fachs muss 2 sein!",""))))</f>
        <v>Faktor e. EN-Kern- u. schr. Pr.fachs muss 2 sein!</v>
      </c>
      <c r="R7" s="159"/>
      <c r="S7" s="49">
        <f>COUNTIF(S4:S6,"nein")</f>
        <v>0</v>
      </c>
      <c r="T7" s="24"/>
      <c r="U7" s="7"/>
      <c r="V7" s="7"/>
      <c r="W7" s="7" t="s">
        <v>29</v>
      </c>
      <c r="X7" s="7"/>
      <c r="Y7" s="7"/>
      <c r="Z7" s="7"/>
      <c r="AA7" s="7"/>
      <c r="AG7" s="24" t="s">
        <v>28</v>
      </c>
    </row>
    <row r="8" spans="1:33" s="23" customFormat="1" ht="15.95" customHeight="1" thickBot="1">
      <c r="A8" s="50" t="s">
        <v>44</v>
      </c>
      <c r="B8" s="51" t="s">
        <v>26</v>
      </c>
      <c r="C8" s="52" t="s">
        <v>64</v>
      </c>
      <c r="D8" s="27">
        <v>4</v>
      </c>
      <c r="E8" s="28"/>
      <c r="F8" s="29"/>
      <c r="G8" s="29"/>
      <c r="H8" s="30"/>
      <c r="I8" s="31">
        <f>SUM(E8:H8)</f>
        <v>0</v>
      </c>
      <c r="J8" s="52">
        <v>2</v>
      </c>
      <c r="K8" s="45">
        <f>IF(OR(J8=1,J8=2),I8*J8,"")</f>
        <v>0</v>
      </c>
      <c r="L8" s="45">
        <f>COUNT(E8:H8)*J8</f>
        <v>0</v>
      </c>
      <c r="M8" s="46">
        <v>355</v>
      </c>
      <c r="N8" s="47">
        <v>3.6</v>
      </c>
      <c r="O8" s="46" t="str">
        <f t="shared" si="0"/>
        <v/>
      </c>
      <c r="P8" s="46" t="str">
        <f t="shared" si="1"/>
        <v/>
      </c>
      <c r="Q8" s="48" t="str">
        <f>IF(COUNTBLANK(E8:H8)&gt;0,"Alle 4 Noten eintragen!","")</f>
        <v>Alle 4 Noten eintragen!</v>
      </c>
      <c r="R8" s="18" t="str">
        <f>IF(OR(B8=B$36,B8=B$37,B8=B$38),IF(COUNTIF(E8:H8,0)&gt;0,"0 Punkte  =&gt; nicht best.!",""),"")</f>
        <v/>
      </c>
      <c r="S8" s="49"/>
      <c r="T8" s="24"/>
      <c r="U8" s="7"/>
      <c r="V8" s="7"/>
      <c r="W8" s="7" t="s">
        <v>30</v>
      </c>
      <c r="X8" s="7"/>
      <c r="Y8" s="7"/>
      <c r="Z8" s="7"/>
      <c r="AA8" s="7"/>
      <c r="AG8" s="7" t="s">
        <v>22</v>
      </c>
    </row>
    <row r="9" spans="1:33" s="23" customFormat="1" ht="15.95" customHeight="1" thickBot="1">
      <c r="A9" s="50" t="s">
        <v>45</v>
      </c>
      <c r="B9" s="146" t="s">
        <v>25</v>
      </c>
      <c r="C9" s="147"/>
      <c r="D9" s="27">
        <v>2</v>
      </c>
      <c r="E9" s="28"/>
      <c r="F9" s="29"/>
      <c r="G9" s="29"/>
      <c r="H9" s="30"/>
      <c r="I9" s="31">
        <f>SUM(E9:H9)</f>
        <v>0</v>
      </c>
      <c r="J9" s="52">
        <f>IF(OR(D9=2,D9=4),1,"")</f>
        <v>1</v>
      </c>
      <c r="K9" s="45">
        <f>IF(OR(J9=1,J9=2),I9*J9,"")</f>
        <v>0</v>
      </c>
      <c r="L9" s="45">
        <f>COUNT(E9:H9)*J9</f>
        <v>0</v>
      </c>
      <c r="M9" s="46">
        <v>373</v>
      </c>
      <c r="N9" s="47">
        <v>3.5</v>
      </c>
      <c r="O9" s="46" t="str">
        <f t="shared" si="0"/>
        <v/>
      </c>
      <c r="P9" s="46" t="str">
        <f t="shared" si="1"/>
        <v/>
      </c>
      <c r="Q9" s="17" t="str">
        <f t="shared" ref="Q9:Q29" si="3">IF(OR(B9=B$36,B9=B$37,B9=B$38),IF(COUNTBLANK(E9:H9)&gt;0,"Alle 4 Noten eintragen!",""),"")</f>
        <v/>
      </c>
      <c r="R9" s="18" t="str">
        <f t="shared" ref="R9:R20" si="4">IF(OR(B9=B$36,B9=B$37,B9=B$38),IF(COUNTIF(E9:H9,0)&gt;0,"0 Punkte  =&gt; nicht best.!",""),"")</f>
        <v/>
      </c>
      <c r="S9" s="49"/>
      <c r="T9" s="24" t="s">
        <v>6</v>
      </c>
      <c r="U9" s="7"/>
      <c r="V9" s="7"/>
      <c r="W9" s="7" t="s">
        <v>31</v>
      </c>
      <c r="X9" s="7"/>
      <c r="Y9" s="7"/>
      <c r="Z9" s="7"/>
      <c r="AA9" s="7"/>
      <c r="AG9" s="7" t="s">
        <v>25</v>
      </c>
    </row>
    <row r="10" spans="1:33" s="23" customFormat="1" ht="15.95" customHeight="1" thickBot="1">
      <c r="A10" s="50" t="s">
        <v>45</v>
      </c>
      <c r="B10" s="146" t="s">
        <v>41</v>
      </c>
      <c r="C10" s="147"/>
      <c r="D10" s="27">
        <v>4</v>
      </c>
      <c r="E10" s="28"/>
      <c r="F10" s="29"/>
      <c r="G10" s="29"/>
      <c r="H10" s="30"/>
      <c r="I10" s="31">
        <f>IF(D10="","",SUM(E10:H10))</f>
        <v>0</v>
      </c>
      <c r="J10" s="113">
        <f>IF(D10=4,1,"")</f>
        <v>1</v>
      </c>
      <c r="K10" s="45">
        <f>IF(OR(J10=1,J10=2),I10*J10,"")</f>
        <v>0</v>
      </c>
      <c r="L10" s="45">
        <f>COUNT(E10:H10)*J10</f>
        <v>0</v>
      </c>
      <c r="M10" s="46">
        <v>391</v>
      </c>
      <c r="N10" s="47">
        <v>3.4</v>
      </c>
      <c r="O10" s="46" t="str">
        <f t="shared" si="0"/>
        <v/>
      </c>
      <c r="P10" s="46" t="str">
        <f t="shared" si="1"/>
        <v/>
      </c>
      <c r="Q10" s="17" t="str">
        <f t="shared" si="3"/>
        <v/>
      </c>
      <c r="R10" s="18" t="str">
        <f t="shared" si="4"/>
        <v/>
      </c>
      <c r="S10" s="49"/>
      <c r="T10" s="7" t="s">
        <v>7</v>
      </c>
      <c r="U10" s="7"/>
      <c r="V10" s="7"/>
      <c r="W10" s="7" t="s">
        <v>32</v>
      </c>
      <c r="X10" s="7"/>
      <c r="Y10" s="7"/>
      <c r="Z10" s="7"/>
      <c r="AA10" s="7"/>
      <c r="AG10" s="7" t="s">
        <v>26</v>
      </c>
    </row>
    <row r="11" spans="1:33" s="23" customFormat="1" ht="15.95" customHeight="1" thickBot="1">
      <c r="A11" s="50" t="s">
        <v>12</v>
      </c>
      <c r="B11" s="146" t="s">
        <v>12</v>
      </c>
      <c r="C11" s="147"/>
      <c r="D11" s="27">
        <v>2</v>
      </c>
      <c r="E11" s="28"/>
      <c r="F11" s="29"/>
      <c r="G11" s="29"/>
      <c r="H11" s="30"/>
      <c r="I11" s="31">
        <f>IF(D11="","",SUM(E11:H11))</f>
        <v>0</v>
      </c>
      <c r="J11" s="52">
        <f>IF(D11=2,1,"")</f>
        <v>1</v>
      </c>
      <c r="K11" s="45">
        <f>IF(OR(J11=1,J11=2),I11*J11,"")</f>
        <v>0</v>
      </c>
      <c r="L11" s="45">
        <f>COUNT(E11:H11)*J11</f>
        <v>0</v>
      </c>
      <c r="M11" s="46">
        <v>409</v>
      </c>
      <c r="N11" s="47">
        <v>3.3</v>
      </c>
      <c r="O11" s="46" t="str">
        <f t="shared" si="0"/>
        <v/>
      </c>
      <c r="P11" s="46" t="str">
        <f t="shared" si="1"/>
        <v/>
      </c>
      <c r="Q11" s="17" t="str">
        <f t="shared" si="3"/>
        <v/>
      </c>
      <c r="R11" s="18" t="str">
        <f t="shared" si="4"/>
        <v/>
      </c>
      <c r="S11" s="49"/>
      <c r="T11" s="20" t="s">
        <v>20</v>
      </c>
      <c r="U11" s="7"/>
      <c r="V11" s="7"/>
      <c r="W11" s="7" t="s">
        <v>42</v>
      </c>
      <c r="X11" s="7"/>
      <c r="Y11" s="7"/>
      <c r="Z11" s="7"/>
      <c r="AA11" s="7"/>
      <c r="AG11" s="7" t="s">
        <v>27</v>
      </c>
    </row>
    <row r="12" spans="1:33" s="23" customFormat="1" ht="15.95" customHeight="1" thickBot="1">
      <c r="A12" s="38" t="s">
        <v>13</v>
      </c>
      <c r="B12" s="148"/>
      <c r="C12" s="149"/>
      <c r="D12" s="40"/>
      <c r="E12" s="41"/>
      <c r="F12" s="42"/>
      <c r="G12" s="42"/>
      <c r="H12" s="43"/>
      <c r="I12" s="44"/>
      <c r="J12" s="42"/>
      <c r="K12" s="45"/>
      <c r="L12" s="45"/>
      <c r="M12" s="46">
        <v>427</v>
      </c>
      <c r="N12" s="47">
        <v>3.2</v>
      </c>
      <c r="O12" s="46" t="str">
        <f t="shared" si="0"/>
        <v/>
      </c>
      <c r="P12" s="46" t="str">
        <f t="shared" si="1"/>
        <v/>
      </c>
      <c r="Q12" s="137"/>
      <c r="R12" s="154"/>
      <c r="S12" s="49"/>
      <c r="T12" s="7" t="s">
        <v>21</v>
      </c>
      <c r="U12" s="7"/>
      <c r="V12" s="7"/>
      <c r="W12" s="7"/>
      <c r="X12" s="7"/>
      <c r="Y12" s="7"/>
      <c r="Z12" s="7"/>
      <c r="AA12" s="7"/>
      <c r="AG12" s="21" t="s">
        <v>9</v>
      </c>
    </row>
    <row r="13" spans="1:33" s="60" customFormat="1" ht="15.95" hidden="1" customHeight="1" thickBot="1">
      <c r="A13" s="54"/>
      <c r="B13" s="150"/>
      <c r="C13" s="151"/>
      <c r="D13" s="55"/>
      <c r="E13" s="56"/>
      <c r="F13" s="57"/>
      <c r="G13" s="57"/>
      <c r="H13" s="58"/>
      <c r="I13" s="31" t="str">
        <f t="shared" ref="I13:I18" si="5">IF(D13="","",SUM(E13:H13))</f>
        <v/>
      </c>
      <c r="J13" s="52" t="str">
        <f>IF(D13=2,1,"")</f>
        <v/>
      </c>
      <c r="K13" s="45" t="str">
        <f t="shared" ref="K13:K18" si="6">IF(OR(J13=1,J13=2),I13*J13,"")</f>
        <v/>
      </c>
      <c r="L13" s="45" t="str">
        <f t="shared" ref="L13:L18" si="7">IF(COUNT(E13:H13)=0,"",COUNT(E13:H13)*J13)</f>
        <v/>
      </c>
      <c r="M13" s="46">
        <v>445</v>
      </c>
      <c r="N13" s="47">
        <v>3.1</v>
      </c>
      <c r="O13" s="46" t="str">
        <f t="shared" si="0"/>
        <v/>
      </c>
      <c r="P13" s="46" t="str">
        <f t="shared" si="1"/>
        <v/>
      </c>
      <c r="Q13" s="17"/>
      <c r="R13" s="18"/>
      <c r="S13" s="59"/>
      <c r="T13" s="24" t="s">
        <v>28</v>
      </c>
      <c r="U13" s="7"/>
      <c r="V13" s="7"/>
      <c r="W13" s="7"/>
      <c r="X13" s="7"/>
      <c r="Y13" s="7"/>
      <c r="Z13" s="7"/>
      <c r="AA13" s="7"/>
      <c r="AG13" s="7" t="s">
        <v>41</v>
      </c>
    </row>
    <row r="14" spans="1:33" s="60" customFormat="1" ht="15.95" hidden="1" customHeight="1" thickBot="1">
      <c r="A14" s="61"/>
      <c r="B14" s="152"/>
      <c r="C14" s="153"/>
      <c r="D14" s="63"/>
      <c r="E14" s="56"/>
      <c r="F14" s="57"/>
      <c r="G14" s="57"/>
      <c r="H14" s="58"/>
      <c r="I14" s="31"/>
      <c r="J14" s="52"/>
      <c r="K14" s="45"/>
      <c r="L14" s="45"/>
      <c r="M14" s="46"/>
      <c r="N14" s="64"/>
      <c r="O14" s="46"/>
      <c r="P14" s="46"/>
      <c r="Q14" s="17"/>
      <c r="R14" s="18"/>
      <c r="S14" s="59"/>
      <c r="T14" s="7" t="s">
        <v>22</v>
      </c>
      <c r="U14" s="7"/>
      <c r="V14" s="7"/>
      <c r="W14" s="7"/>
      <c r="X14" s="7"/>
      <c r="Y14" s="7"/>
      <c r="Z14" s="7"/>
      <c r="AA14" s="7"/>
      <c r="AG14" s="22" t="s">
        <v>11</v>
      </c>
    </row>
    <row r="15" spans="1:33" s="23" customFormat="1" ht="15.95" hidden="1" customHeight="1" thickBot="1">
      <c r="A15" s="50"/>
      <c r="B15" s="141"/>
      <c r="C15" s="142"/>
      <c r="D15" s="27"/>
      <c r="E15" s="28"/>
      <c r="F15" s="29"/>
      <c r="G15" s="29"/>
      <c r="H15" s="30"/>
      <c r="I15" s="31"/>
      <c r="J15" s="29"/>
      <c r="K15" s="45"/>
      <c r="L15" s="45"/>
      <c r="M15" s="46"/>
      <c r="N15" s="47"/>
      <c r="O15" s="46"/>
      <c r="P15" s="46"/>
      <c r="Q15" s="17"/>
      <c r="R15" s="18"/>
      <c r="S15" s="49"/>
      <c r="U15" s="7"/>
      <c r="V15" s="7"/>
      <c r="W15" s="7"/>
      <c r="X15" s="7"/>
      <c r="Y15" s="7"/>
      <c r="Z15" s="7"/>
      <c r="AA15" s="7"/>
      <c r="AG15" s="7" t="s">
        <v>23</v>
      </c>
    </row>
    <row r="16" spans="1:33" s="23" customFormat="1" ht="15.95" customHeight="1" thickBot="1">
      <c r="A16" s="50" t="s">
        <v>48</v>
      </c>
      <c r="B16" s="141" t="s">
        <v>40</v>
      </c>
      <c r="C16" s="142"/>
      <c r="D16" s="27">
        <v>2</v>
      </c>
      <c r="E16" s="28"/>
      <c r="F16" s="29"/>
      <c r="G16" s="29"/>
      <c r="H16" s="30"/>
      <c r="I16" s="31">
        <f t="shared" si="5"/>
        <v>0</v>
      </c>
      <c r="J16" s="52">
        <f>IF(D16=2,1,"")</f>
        <v>1</v>
      </c>
      <c r="K16" s="45">
        <f t="shared" si="6"/>
        <v>0</v>
      </c>
      <c r="L16" s="45" t="str">
        <f t="shared" si="7"/>
        <v/>
      </c>
      <c r="M16" s="46">
        <v>499</v>
      </c>
      <c r="N16" s="47">
        <v>2.8</v>
      </c>
      <c r="O16" s="46" t="str">
        <f t="shared" si="0"/>
        <v/>
      </c>
      <c r="P16" s="46" t="str">
        <f t="shared" si="1"/>
        <v/>
      </c>
      <c r="Q16" s="17" t="str">
        <f t="shared" si="3"/>
        <v/>
      </c>
      <c r="R16" s="18" t="str">
        <f t="shared" si="4"/>
        <v/>
      </c>
      <c r="S16" s="49"/>
      <c r="T16" s="7"/>
      <c r="U16" s="7"/>
      <c r="V16" s="7"/>
      <c r="W16" s="7"/>
      <c r="X16" s="7"/>
      <c r="Y16" s="7"/>
      <c r="Z16" s="7"/>
      <c r="AA16" s="7"/>
      <c r="AG16" s="7" t="s">
        <v>24</v>
      </c>
    </row>
    <row r="17" spans="1:33" s="23" customFormat="1" ht="15.95" customHeight="1" thickBot="1">
      <c r="A17" s="50" t="s">
        <v>46</v>
      </c>
      <c r="B17" s="141" t="s">
        <v>40</v>
      </c>
      <c r="C17" s="142"/>
      <c r="D17" s="27">
        <v>2</v>
      </c>
      <c r="E17" s="28"/>
      <c r="F17" s="29"/>
      <c r="G17" s="29"/>
      <c r="H17" s="30"/>
      <c r="I17" s="31">
        <f t="shared" si="5"/>
        <v>0</v>
      </c>
      <c r="J17" s="52">
        <f>IF(D17=2,1,"")</f>
        <v>1</v>
      </c>
      <c r="K17" s="45">
        <f t="shared" si="6"/>
        <v>0</v>
      </c>
      <c r="L17" s="45" t="str">
        <f t="shared" si="7"/>
        <v/>
      </c>
      <c r="M17" s="46">
        <v>517</v>
      </c>
      <c r="N17" s="47">
        <v>2.7</v>
      </c>
      <c r="O17" s="46" t="str">
        <f t="shared" si="0"/>
        <v/>
      </c>
      <c r="P17" s="46" t="str">
        <f t="shared" si="1"/>
        <v/>
      </c>
      <c r="Q17" s="48" t="str">
        <f t="shared" si="3"/>
        <v/>
      </c>
      <c r="R17" s="18" t="str">
        <f t="shared" si="4"/>
        <v/>
      </c>
      <c r="S17" s="49"/>
      <c r="U17" s="7"/>
      <c r="V17" s="7"/>
      <c r="W17" s="7"/>
      <c r="X17" s="7"/>
      <c r="Y17" s="7"/>
      <c r="Z17" s="7"/>
      <c r="AA17" s="7"/>
      <c r="AG17" s="7" t="s">
        <v>33</v>
      </c>
    </row>
    <row r="18" spans="1:33" s="23" customFormat="1" ht="15.95" customHeight="1" thickBot="1">
      <c r="A18" s="50" t="s">
        <v>14</v>
      </c>
      <c r="B18" s="146" t="s">
        <v>14</v>
      </c>
      <c r="C18" s="155"/>
      <c r="D18" s="27">
        <v>2</v>
      </c>
      <c r="E18" s="28"/>
      <c r="F18" s="29"/>
      <c r="G18" s="29"/>
      <c r="H18" s="30"/>
      <c r="I18" s="31">
        <f t="shared" si="5"/>
        <v>0</v>
      </c>
      <c r="J18" s="52">
        <f>IF(D18=2,1,"")</f>
        <v>1</v>
      </c>
      <c r="K18" s="45">
        <f t="shared" si="6"/>
        <v>0</v>
      </c>
      <c r="L18" s="45" t="str">
        <f t="shared" si="7"/>
        <v/>
      </c>
      <c r="M18" s="46">
        <v>535</v>
      </c>
      <c r="N18" s="47">
        <v>2.6</v>
      </c>
      <c r="O18" s="46" t="str">
        <f t="shared" si="0"/>
        <v/>
      </c>
      <c r="P18" s="46" t="str">
        <f t="shared" si="1"/>
        <v/>
      </c>
      <c r="Q18" s="17" t="str">
        <f t="shared" si="3"/>
        <v/>
      </c>
      <c r="R18" s="18" t="str">
        <f t="shared" si="4"/>
        <v/>
      </c>
      <c r="S18" s="49"/>
      <c r="U18" s="7"/>
      <c r="V18" s="7"/>
      <c r="W18" s="7"/>
      <c r="X18" s="7"/>
      <c r="Y18" s="7"/>
      <c r="Z18" s="7"/>
      <c r="AA18" s="7"/>
      <c r="AG18" s="7" t="s">
        <v>49</v>
      </c>
    </row>
    <row r="19" spans="1:33" s="23" customFormat="1" ht="15.95" customHeight="1" thickBot="1">
      <c r="A19" s="38" t="s">
        <v>15</v>
      </c>
      <c r="B19" s="148"/>
      <c r="C19" s="149"/>
      <c r="D19" s="40"/>
      <c r="E19" s="41"/>
      <c r="F19" s="42"/>
      <c r="G19" s="42"/>
      <c r="H19" s="43"/>
      <c r="I19" s="44"/>
      <c r="J19" s="42"/>
      <c r="K19" s="45"/>
      <c r="L19" s="45"/>
      <c r="M19" s="46">
        <v>553</v>
      </c>
      <c r="N19" s="47">
        <v>2.5</v>
      </c>
      <c r="O19" s="46" t="str">
        <f t="shared" si="0"/>
        <v/>
      </c>
      <c r="P19" s="46" t="str">
        <f t="shared" si="1"/>
        <v/>
      </c>
      <c r="Q19" s="17" t="str">
        <f>IF(OR(B13="Auswahlliste!",B14="Auswahlliste!",B15="Auswahlliste!",B16="Auswahlliste!",B17="Auswahlliste!"),"Wahlpfl.fächer wählen!","")</f>
        <v>Wahlpfl.fächer wählen!</v>
      </c>
      <c r="R19" s="18"/>
      <c r="S19" s="49"/>
      <c r="U19" s="7"/>
      <c r="V19" s="7"/>
      <c r="W19" s="7"/>
      <c r="X19" s="7"/>
      <c r="Y19" s="7"/>
      <c r="Z19" s="7"/>
      <c r="AA19" s="7"/>
      <c r="AG19" s="7" t="s">
        <v>34</v>
      </c>
    </row>
    <row r="20" spans="1:33" s="23" customFormat="1" ht="15.95" customHeight="1" thickBot="1">
      <c r="A20" s="114" t="s">
        <v>50</v>
      </c>
      <c r="B20" s="141" t="s">
        <v>42</v>
      </c>
      <c r="C20" s="142"/>
      <c r="D20" s="27" t="str">
        <f>IF(OR(B20=V5),4,"")</f>
        <v/>
      </c>
      <c r="E20" s="28"/>
      <c r="F20" s="29"/>
      <c r="G20" s="29"/>
      <c r="H20" s="30"/>
      <c r="I20" s="31" t="str">
        <f>IF(D20="","",SUM(E20:H20))</f>
        <v/>
      </c>
      <c r="J20" s="136" t="str">
        <f>IF(D20=4,1,"")</f>
        <v/>
      </c>
      <c r="K20" s="45" t="str">
        <f t="shared" ref="K20:K29" si="8">IF(OR(J20=1,J20=2),I20*J20,"")</f>
        <v/>
      </c>
      <c r="L20" s="45" t="str">
        <f t="shared" ref="L20:L29" si="9">IF(COUNT(E20:H20)=0,"",COUNT(E20:H20)*J20)</f>
        <v/>
      </c>
      <c r="M20" s="46">
        <v>571</v>
      </c>
      <c r="N20" s="47">
        <v>2.4</v>
      </c>
      <c r="O20" s="46" t="str">
        <f t="shared" si="0"/>
        <v/>
      </c>
      <c r="P20" s="46" t="str">
        <f t="shared" si="1"/>
        <v/>
      </c>
      <c r="Q20" s="17" t="str">
        <f t="shared" si="3"/>
        <v/>
      </c>
      <c r="R20" s="18" t="str">
        <f t="shared" si="4"/>
        <v/>
      </c>
      <c r="S20" s="49"/>
      <c r="U20" s="7"/>
      <c r="V20" s="7"/>
      <c r="W20" s="7"/>
      <c r="X20" s="7"/>
      <c r="Y20" s="7"/>
      <c r="Z20" s="7"/>
      <c r="AA20" s="7"/>
      <c r="AG20" s="21" t="s">
        <v>39</v>
      </c>
    </row>
    <row r="21" spans="1:33" s="23" customFormat="1" ht="15.95" customHeight="1" thickBot="1">
      <c r="A21" s="65" t="s">
        <v>55</v>
      </c>
      <c r="B21" s="160" t="s">
        <v>42</v>
      </c>
      <c r="C21" s="161"/>
      <c r="D21" s="66" t="str">
        <f>IF(OR(B21=W3,B21=W4,B21=W5,B21=W6),4,"")</f>
        <v/>
      </c>
      <c r="E21" s="166"/>
      <c r="F21" s="169"/>
      <c r="G21" s="169"/>
      <c r="H21" s="170"/>
      <c r="I21" s="69" t="str">
        <f>IF(D21="","",SUM(E21:H21))</f>
        <v/>
      </c>
      <c r="J21" s="70" t="str">
        <f>IF(D21=4,1,"")</f>
        <v/>
      </c>
      <c r="K21" s="45" t="str">
        <f t="shared" si="8"/>
        <v/>
      </c>
      <c r="L21" s="45" t="str">
        <f t="shared" si="9"/>
        <v/>
      </c>
      <c r="M21" s="46">
        <v>589</v>
      </c>
      <c r="N21" s="47">
        <v>2.2999999999999998</v>
      </c>
      <c r="O21" s="46" t="str">
        <f t="shared" si="0"/>
        <v/>
      </c>
      <c r="P21" s="46" t="str">
        <f t="shared" si="1"/>
        <v/>
      </c>
      <c r="Q21" s="17" t="str">
        <f t="shared" si="3"/>
        <v/>
      </c>
      <c r="R21" s="18" t="str">
        <f t="shared" ref="R21:R28" si="10">IF(AND(COUNTBLANK(E21:H21)&lt;4,D21=""),"Fach auswählen!",IF(OR(B21=B$36,B21=B$37,B21=B$38),IF(COUNTIF(E21:H21,0)&gt;0,"0 Punkte  =&gt; nicht best.!",""),""))</f>
        <v/>
      </c>
      <c r="S21" s="49"/>
      <c r="U21" s="7"/>
      <c r="V21" s="7"/>
      <c r="W21" s="7"/>
      <c r="X21" s="7"/>
      <c r="Y21" s="7"/>
      <c r="Z21" s="7"/>
      <c r="AA21" s="7"/>
      <c r="AG21" s="7" t="s">
        <v>14</v>
      </c>
    </row>
    <row r="22" spans="1:33" s="23" customFormat="1" ht="15.95" customHeight="1" thickBot="1">
      <c r="A22" s="65" t="s">
        <v>16</v>
      </c>
      <c r="B22" s="162"/>
      <c r="C22" s="163"/>
      <c r="D22" s="71" t="str">
        <f>IF(B21=W7,2,"")</f>
        <v/>
      </c>
      <c r="E22" s="167"/>
      <c r="F22" s="169"/>
      <c r="G22" s="169"/>
      <c r="H22" s="170"/>
      <c r="I22" s="72" t="str">
        <f>IF(D22="","",SUM(E22:H22))</f>
        <v/>
      </c>
      <c r="J22" s="73" t="str">
        <f t="shared" ref="J22:J29" si="11">IF(D22=2,1,"")</f>
        <v/>
      </c>
      <c r="K22" s="45" t="str">
        <f t="shared" si="8"/>
        <v/>
      </c>
      <c r="L22" s="45" t="str">
        <f t="shared" si="9"/>
        <v/>
      </c>
      <c r="M22" s="46">
        <v>607</v>
      </c>
      <c r="N22" s="47">
        <v>2.2000000000000002</v>
      </c>
      <c r="O22" s="46" t="str">
        <f t="shared" si="0"/>
        <v/>
      </c>
      <c r="P22" s="46" t="str">
        <f t="shared" si="1"/>
        <v/>
      </c>
      <c r="Q22" s="17" t="str">
        <f>IF(OR(B21=B$36,B21=B$37,B21=B$38),IF(COUNTBLANK(E21:H21)&gt;0,"Alle 4 Noten eintragen!",""),"")</f>
        <v/>
      </c>
      <c r="R22" s="18" t="str">
        <f>IF(AND(COUNTBLANK(E22:H22)&lt;4,D22=""),"Fach auswählen!",IF(OR(B22=B$36,B22=B$37,B22=B$38),IF(COUNTIF(E22:H22,0)&gt;0,"0 Punkte  =&gt; nicht best.!",""),""))</f>
        <v/>
      </c>
      <c r="S22" s="49"/>
      <c r="U22" s="7"/>
      <c r="V22" s="7"/>
      <c r="W22" s="7"/>
      <c r="X22" s="7"/>
      <c r="Y22" s="7"/>
      <c r="Z22" s="7"/>
      <c r="AA22" s="7"/>
      <c r="AG22" s="7"/>
    </row>
    <row r="23" spans="1:33" s="23" customFormat="1" ht="15.95" customHeight="1" thickBot="1">
      <c r="A23" s="50" t="s">
        <v>43</v>
      </c>
      <c r="B23" s="164"/>
      <c r="C23" s="165"/>
      <c r="D23" s="74" t="str">
        <f>IF(OR(B21=W8,B21=W9,B21=W10),2,"")</f>
        <v/>
      </c>
      <c r="E23" s="168"/>
      <c r="F23" s="169"/>
      <c r="G23" s="169"/>
      <c r="H23" s="170"/>
      <c r="I23" s="76" t="str">
        <f>IF(D23="","",SUM(E23:H23))</f>
        <v/>
      </c>
      <c r="J23" s="77" t="str">
        <f t="shared" si="11"/>
        <v/>
      </c>
      <c r="K23" s="45" t="str">
        <f t="shared" si="8"/>
        <v/>
      </c>
      <c r="L23" s="45" t="str">
        <f t="shared" si="9"/>
        <v/>
      </c>
      <c r="M23" s="46">
        <v>625</v>
      </c>
      <c r="N23" s="47">
        <v>2.1</v>
      </c>
      <c r="O23" s="46" t="str">
        <f t="shared" si="0"/>
        <v/>
      </c>
      <c r="P23" s="46" t="str">
        <f t="shared" si="1"/>
        <v/>
      </c>
      <c r="Q23" s="17" t="str">
        <f>IF(OR(B21=B$36,B21=B$37,B21=B$38),IF(COUNTBLANK(E21:H21)&gt;0,"Alle 4 Noten eintragen!",""),"")</f>
        <v/>
      </c>
      <c r="R23" s="18" t="str">
        <f>IF(AND(COUNTBLANK(E22:H22)&lt;4,D23=""),"Fach auswählen!",IF(OR(B23=B$36,B23=B$37,B23=B$38),IF(COUNTIF(E23:H23,0)&gt;0,"0 Punkte  =&gt; nicht best.!",""),""))</f>
        <v/>
      </c>
      <c r="S23" s="49"/>
      <c r="T23" s="7"/>
      <c r="U23" s="7"/>
      <c r="V23" s="7"/>
      <c r="W23" s="7"/>
      <c r="X23" s="7"/>
      <c r="Y23" s="7"/>
      <c r="Z23" s="7"/>
      <c r="AA23" s="7"/>
      <c r="AG23" s="7"/>
    </row>
    <row r="24" spans="1:33" s="23" customFormat="1" ht="15.95" customHeight="1" thickBot="1">
      <c r="A24" s="50" t="s">
        <v>46</v>
      </c>
      <c r="B24" s="141" t="s">
        <v>42</v>
      </c>
      <c r="C24" s="142"/>
      <c r="D24" s="27" t="str">
        <f>IF(OR(B24=Y3,B24=Y4,B24=Y5),2,"")</f>
        <v/>
      </c>
      <c r="E24" s="28"/>
      <c r="F24" s="29"/>
      <c r="G24" s="29"/>
      <c r="H24" s="30"/>
      <c r="I24" s="31" t="str">
        <f>IF(D24="","",SUM(E24:H24))</f>
        <v/>
      </c>
      <c r="J24" s="78" t="str">
        <f t="shared" si="11"/>
        <v/>
      </c>
      <c r="K24" s="45" t="str">
        <f t="shared" si="8"/>
        <v/>
      </c>
      <c r="L24" s="45" t="str">
        <f t="shared" si="9"/>
        <v/>
      </c>
      <c r="M24" s="46">
        <v>643</v>
      </c>
      <c r="N24" s="64">
        <v>2</v>
      </c>
      <c r="O24" s="46" t="str">
        <f t="shared" si="0"/>
        <v/>
      </c>
      <c r="P24" s="46" t="str">
        <f t="shared" si="1"/>
        <v/>
      </c>
      <c r="Q24" s="17" t="str">
        <f t="shared" si="3"/>
        <v/>
      </c>
      <c r="R24" s="18" t="str">
        <f>IF(AND(COUNTBLANK(E22:H22)&lt;4,D24=""),"Fach auswählen!",IF(OR(B24=B$36,B24=B$37,B24=B$38),IF(COUNTIF(E24:H24,0)&gt;0,"0 Punkte  =&gt; nicht best.!",""),""))</f>
        <v/>
      </c>
      <c r="S24" s="49"/>
      <c r="U24" s="7"/>
      <c r="V24" s="7"/>
      <c r="W24" s="7"/>
      <c r="X24" s="7"/>
      <c r="Y24" s="7"/>
      <c r="Z24" s="7"/>
      <c r="AA24" s="7"/>
    </row>
    <row r="25" spans="1:33" s="23" customFormat="1" ht="15.95" customHeight="1" thickBot="1">
      <c r="A25" s="50" t="s">
        <v>51</v>
      </c>
      <c r="B25" s="141" t="s">
        <v>42</v>
      </c>
      <c r="C25" s="142"/>
      <c r="D25" s="27" t="str">
        <f>IF(OR(B25=Z3,B25=Z4,B25=Z5),2,"")</f>
        <v/>
      </c>
      <c r="E25" s="28"/>
      <c r="F25" s="29"/>
      <c r="G25" s="29"/>
      <c r="H25" s="30"/>
      <c r="I25" s="31" t="str">
        <f t="shared" ref="I25:I29" si="12">IF(D25="","",SUM(E25:H25))</f>
        <v/>
      </c>
      <c r="J25" s="78" t="str">
        <f t="shared" si="11"/>
        <v/>
      </c>
      <c r="K25" s="45" t="str">
        <f t="shared" si="8"/>
        <v/>
      </c>
      <c r="L25" s="45" t="str">
        <f t="shared" si="9"/>
        <v/>
      </c>
      <c r="M25" s="46">
        <v>661</v>
      </c>
      <c r="N25" s="47">
        <v>1.9</v>
      </c>
      <c r="O25" s="46" t="str">
        <f t="shared" si="0"/>
        <v/>
      </c>
      <c r="P25" s="46" t="str">
        <f t="shared" si="1"/>
        <v/>
      </c>
      <c r="Q25" s="17" t="str">
        <f>IF(COUNTBLANK(E25:H25)=0,"Nur 3 Kurse einzubringen!","")</f>
        <v/>
      </c>
      <c r="R25" s="18" t="str">
        <f t="shared" si="10"/>
        <v/>
      </c>
      <c r="S25" s="49"/>
      <c r="U25" s="7"/>
      <c r="V25" s="7"/>
      <c r="W25" s="7"/>
      <c r="X25" s="7"/>
      <c r="Y25" s="7"/>
      <c r="Z25" s="7"/>
      <c r="AA25" s="7"/>
    </row>
    <row r="26" spans="1:33" s="23" customFormat="1" ht="15.95" hidden="1" customHeight="1" thickBot="1">
      <c r="A26" s="50"/>
      <c r="B26" s="141" t="s">
        <v>42</v>
      </c>
      <c r="C26" s="142"/>
      <c r="D26" s="27" t="str">
        <f>IF(B26=AB4,2,"")</f>
        <v/>
      </c>
      <c r="E26" s="28"/>
      <c r="F26" s="29"/>
      <c r="G26" s="29"/>
      <c r="H26" s="30"/>
      <c r="I26" s="31"/>
      <c r="J26" s="78" t="str">
        <f t="shared" si="11"/>
        <v/>
      </c>
      <c r="K26" s="45"/>
      <c r="L26" s="45"/>
      <c r="M26" s="46"/>
      <c r="N26" s="47"/>
      <c r="O26" s="46"/>
      <c r="P26" s="46"/>
      <c r="Q26" s="17"/>
      <c r="R26" s="18"/>
      <c r="S26" s="49"/>
      <c r="U26" s="7"/>
      <c r="V26" s="7"/>
      <c r="W26" s="7"/>
      <c r="X26" s="7"/>
      <c r="Y26" s="7"/>
      <c r="Z26" s="7"/>
      <c r="AA26" s="7"/>
      <c r="AG26" s="7"/>
    </row>
    <row r="27" spans="1:33" s="23" customFormat="1" ht="15.95" customHeight="1" thickBot="1">
      <c r="A27" s="50" t="s">
        <v>57</v>
      </c>
      <c r="B27" s="141" t="s">
        <v>42</v>
      </c>
      <c r="C27" s="142"/>
      <c r="D27" s="27" t="str">
        <f>IF(OR(B27=AA3,B27=AA4),2,"")</f>
        <v/>
      </c>
      <c r="E27" s="28"/>
      <c r="F27" s="29"/>
      <c r="G27" s="29"/>
      <c r="H27" s="30"/>
      <c r="I27" s="31" t="str">
        <f t="shared" si="12"/>
        <v/>
      </c>
      <c r="J27" s="78" t="str">
        <f t="shared" si="11"/>
        <v/>
      </c>
      <c r="K27" s="45" t="str">
        <f t="shared" si="8"/>
        <v/>
      </c>
      <c r="L27" s="45" t="str">
        <f t="shared" si="9"/>
        <v/>
      </c>
      <c r="M27" s="46">
        <v>697</v>
      </c>
      <c r="N27" s="47">
        <v>1.7</v>
      </c>
      <c r="O27" s="46" t="str">
        <f t="shared" si="0"/>
        <v/>
      </c>
      <c r="P27" s="46" t="str">
        <f t="shared" si="1"/>
        <v/>
      </c>
      <c r="Q27" s="17" t="str">
        <f t="shared" si="3"/>
        <v/>
      </c>
      <c r="R27" s="18" t="str">
        <f t="shared" si="10"/>
        <v/>
      </c>
      <c r="S27" s="49"/>
      <c r="T27" s="7"/>
      <c r="U27" s="7"/>
      <c r="V27" s="7"/>
      <c r="W27" s="7"/>
      <c r="X27" s="7"/>
      <c r="Y27" s="7"/>
      <c r="Z27" s="7"/>
      <c r="AA27" s="7"/>
      <c r="AG27" s="7"/>
    </row>
    <row r="28" spans="1:33" s="23" customFormat="1" ht="15.95" customHeight="1" thickBot="1">
      <c r="A28" s="50" t="s">
        <v>18</v>
      </c>
      <c r="B28" s="141" t="s">
        <v>42</v>
      </c>
      <c r="C28" s="142"/>
      <c r="D28" s="27" t="str">
        <f>IF(OR(B28=AC3),2,"")</f>
        <v/>
      </c>
      <c r="E28" s="28"/>
      <c r="F28" s="29"/>
      <c r="G28" s="29"/>
      <c r="H28" s="30"/>
      <c r="I28" s="31" t="str">
        <f t="shared" si="12"/>
        <v/>
      </c>
      <c r="J28" s="78" t="str">
        <f t="shared" si="11"/>
        <v/>
      </c>
      <c r="K28" s="45" t="str">
        <f t="shared" si="8"/>
        <v/>
      </c>
      <c r="L28" s="45" t="str">
        <f t="shared" si="9"/>
        <v/>
      </c>
      <c r="M28" s="46">
        <v>715</v>
      </c>
      <c r="N28" s="47">
        <v>1.6</v>
      </c>
      <c r="O28" s="46" t="str">
        <f t="shared" si="0"/>
        <v/>
      </c>
      <c r="P28" s="46" t="str">
        <f t="shared" si="1"/>
        <v/>
      </c>
      <c r="Q28" s="17" t="str">
        <f t="shared" si="3"/>
        <v/>
      </c>
      <c r="R28" s="18" t="str">
        <f t="shared" si="10"/>
        <v/>
      </c>
      <c r="S28" s="49"/>
      <c r="U28" s="7"/>
      <c r="V28" s="7"/>
      <c r="W28" s="7"/>
      <c r="X28" s="7"/>
      <c r="Y28" s="7"/>
      <c r="Z28" s="7"/>
      <c r="AA28" s="7"/>
      <c r="AG28" s="7"/>
    </row>
    <row r="29" spans="1:33" s="23" customFormat="1" ht="15.95" customHeight="1" thickBot="1">
      <c r="A29" s="79" t="s">
        <v>52</v>
      </c>
      <c r="B29" s="171" t="s">
        <v>42</v>
      </c>
      <c r="C29" s="172"/>
      <c r="D29" s="27" t="str">
        <f>IF(B29=AD3,2,"")</f>
        <v/>
      </c>
      <c r="E29" s="28"/>
      <c r="F29" s="29"/>
      <c r="G29" s="29"/>
      <c r="H29" s="30"/>
      <c r="I29" s="31" t="str">
        <f t="shared" si="12"/>
        <v/>
      </c>
      <c r="J29" s="78" t="str">
        <f t="shared" si="11"/>
        <v/>
      </c>
      <c r="K29" s="45" t="str">
        <f t="shared" si="8"/>
        <v/>
      </c>
      <c r="L29" s="45" t="str">
        <f t="shared" si="9"/>
        <v/>
      </c>
      <c r="M29" s="46">
        <v>733</v>
      </c>
      <c r="N29" s="47">
        <v>1.5</v>
      </c>
      <c r="O29" s="46" t="str">
        <f t="shared" si="0"/>
        <v/>
      </c>
      <c r="P29" s="46" t="str">
        <f t="shared" si="1"/>
        <v/>
      </c>
      <c r="Q29" s="17" t="str">
        <f t="shared" si="3"/>
        <v/>
      </c>
      <c r="R29" s="18" t="str">
        <f>IF(AND(COUNTBLANK(E29:H29)&lt;4,D29=""),"Fach auswählen!",IF(OR(B29=B$36,B29=B$37,B29=B$38),IF(COUNTIF(E29:H29,0)&gt;0,"0 Punkte  =&gt; nicht best.!",""),""))</f>
        <v/>
      </c>
      <c r="S29" s="49"/>
      <c r="U29" s="7"/>
      <c r="V29" s="7"/>
      <c r="W29" s="7"/>
      <c r="X29" s="7"/>
      <c r="Y29" s="7"/>
      <c r="Z29" s="7"/>
      <c r="AA29" s="7"/>
      <c r="AG29" s="80"/>
    </row>
    <row r="30" spans="1:33" s="23" customFormat="1" ht="15.95" customHeight="1" thickBot="1">
      <c r="A30" s="173" t="s">
        <v>19</v>
      </c>
      <c r="B30" s="174"/>
      <c r="C30" s="175"/>
      <c r="D30" s="81">
        <f>SUM(D4:D29)</f>
        <v>30</v>
      </c>
      <c r="E30" s="183" t="s">
        <v>63</v>
      </c>
      <c r="F30" s="184"/>
      <c r="G30" s="184"/>
      <c r="H30" s="82">
        <f>COUNT(E4:H29)-COUNTIF(E4:H29,0)</f>
        <v>0</v>
      </c>
      <c r="I30" s="176" t="str">
        <f>IF(COUNTIF(J4:J29,2)&lt;3,"Faktor 3x auf 2 setzen!",IF(COUNTIF(J4:J29,2)&gt;3,"Faktor nur 3x auf 2 setzen!",""))</f>
        <v>Faktor 3x auf 2 setzen!</v>
      </c>
      <c r="J30" s="177"/>
      <c r="K30" s="177"/>
      <c r="L30" s="83"/>
      <c r="M30" s="46">
        <v>751</v>
      </c>
      <c r="N30" s="47">
        <v>1.4</v>
      </c>
      <c r="O30" s="46" t="str">
        <f t="shared" si="0"/>
        <v/>
      </c>
      <c r="P30" s="46" t="str">
        <f t="shared" si="1"/>
        <v/>
      </c>
      <c r="Q30" s="84"/>
      <c r="R30" s="85"/>
      <c r="S30" s="86"/>
      <c r="U30" s="7"/>
      <c r="V30" s="7"/>
      <c r="W30" s="7"/>
      <c r="X30" s="7"/>
      <c r="Y30" s="7"/>
      <c r="Z30" s="7"/>
      <c r="AA30" s="7"/>
    </row>
    <row r="31" spans="1:33" ht="15.95" customHeight="1">
      <c r="A31" s="87"/>
      <c r="B31" s="48" t="str">
        <f>IF(OR(B20=B15,B21=B5,B24=B17,B26=B13,B26=B14,B29=B13,B29=B14),"Doppelbelegung!","")</f>
        <v/>
      </c>
      <c r="C31" s="137" t="str">
        <f>IF(D30&lt;34,"zu wenig Stunden/Semester","")</f>
        <v>zu wenig Stunden/Semester</v>
      </c>
      <c r="D31" s="137"/>
      <c r="E31" s="137"/>
      <c r="F31" s="88"/>
      <c r="G31" s="179" t="str">
        <f>IF(H30&lt;32,"zu wenig Kurse!","")</f>
        <v>zu wenig Kurse!</v>
      </c>
      <c r="H31" s="179"/>
      <c r="I31" s="178"/>
      <c r="J31" s="178"/>
      <c r="K31" s="178"/>
      <c r="L31" s="89"/>
      <c r="M31" s="33">
        <v>769</v>
      </c>
      <c r="N31" s="37">
        <v>1.3</v>
      </c>
      <c r="O31" s="33" t="str">
        <f t="shared" si="0"/>
        <v/>
      </c>
      <c r="P31" s="33" t="str">
        <f t="shared" si="1"/>
        <v/>
      </c>
      <c r="Q31" s="82"/>
      <c r="R31" s="18" t="str">
        <f>IF(AND(COUNTBLANK(E17:H17)&gt;0,COUNTBLANK(E24:H24)&gt;0),"4 N. in künstl. Fach eintr.!",IF(OR(COUNTIF(E17:H17,0)&gt;0,COUNTIF(E24:H24,0)&gt;0),"0 Punkte  =&gt; nicht best.!",""))</f>
        <v>4 N. in künstl. Fach eintr.!</v>
      </c>
    </row>
    <row r="32" spans="1:33" ht="15.95" customHeight="1" thickBot="1">
      <c r="A32" s="87"/>
      <c r="B32" s="88"/>
      <c r="C32" s="17"/>
      <c r="D32" s="17"/>
      <c r="E32" s="17"/>
      <c r="F32" s="179" t="str">
        <f>IF(COUNTIF(E4:H29,"&gt;15")&gt;0,"Notenwert(e) zu hoch!",IF(COUNTIF(E4:H29,"&lt;5")&gt;(H30/5),"zu viele Unterkurse!",""))</f>
        <v/>
      </c>
      <c r="G32" s="180"/>
      <c r="H32" s="180"/>
      <c r="I32" s="91"/>
      <c r="J32" s="91"/>
      <c r="K32" s="91"/>
      <c r="L32" s="89"/>
      <c r="M32" s="33">
        <v>787</v>
      </c>
      <c r="N32" s="37">
        <v>1.2</v>
      </c>
      <c r="O32" s="33" t="str">
        <f t="shared" si="0"/>
        <v/>
      </c>
      <c r="P32" s="33" t="str">
        <f t="shared" si="1"/>
        <v/>
      </c>
      <c r="Q32" s="137" t="str">
        <f>IF(AND(COUNTBLANK(E10:H10)&gt;0,COUNTBLANK(E14:H14)&gt;0,COUNTBLANK(E26:H26)&gt;0,COUNTBLANK(E29:H29)&gt;0),"4 Noten in PGW, Geschichte oder Geo eintragen!",IF(OR(COUNTIF(E10:H10,0)&gt;0,COUNTIF(E14:H14,0)&gt;0,COUNTIF(E26:H26,0)&gt;0,COUNTIF(E29:H29,0)&gt;0),"0 Punkte  =&gt; nicht best.!",""))</f>
        <v>4 Noten in PGW, Geschichte oder Geo eintragen!</v>
      </c>
      <c r="R32" s="138"/>
    </row>
    <row r="33" spans="1:18" ht="15.95" customHeight="1" thickBot="1">
      <c r="A33" s="1" t="s">
        <v>67</v>
      </c>
      <c r="B33" s="92"/>
      <c r="C33" s="92"/>
      <c r="D33" s="92"/>
      <c r="E33" s="88"/>
      <c r="F33" s="88"/>
      <c r="G33" s="88"/>
      <c r="H33" s="88"/>
      <c r="I33" s="89"/>
      <c r="J33" s="89"/>
      <c r="K33" s="89"/>
      <c r="L33" s="89"/>
      <c r="M33" s="33">
        <v>805</v>
      </c>
      <c r="N33" s="37">
        <v>1.1000000000000001</v>
      </c>
      <c r="O33" s="33" t="str">
        <f>IF(P34&lt;&gt;"","",IF($F$38&gt;=M33,N33,""))</f>
        <v/>
      </c>
      <c r="P33" s="33" t="str">
        <f>O33&amp;""&amp;P34</f>
        <v/>
      </c>
      <c r="Q33" s="82"/>
      <c r="R33" s="90"/>
    </row>
    <row r="34" spans="1:18" ht="15.95" customHeight="1" thickBot="1">
      <c r="A34" s="93"/>
      <c r="B34" s="92"/>
      <c r="C34" s="94" t="s">
        <v>4</v>
      </c>
      <c r="D34" s="94" t="s">
        <v>73</v>
      </c>
      <c r="E34" s="88"/>
      <c r="F34" s="181" t="s">
        <v>74</v>
      </c>
      <c r="G34" s="182"/>
      <c r="H34" s="88"/>
      <c r="I34" s="181" t="s">
        <v>76</v>
      </c>
      <c r="J34" s="182"/>
      <c r="K34" s="89"/>
      <c r="L34" s="89"/>
      <c r="M34" s="33">
        <v>823</v>
      </c>
      <c r="N34" s="34">
        <v>1</v>
      </c>
      <c r="O34" s="33" t="str">
        <f>IF($F$38&gt;=M34,N34,"")</f>
        <v/>
      </c>
      <c r="P34" s="33" t="str">
        <f>O34</f>
        <v/>
      </c>
      <c r="Q34" s="82"/>
      <c r="R34" s="90"/>
    </row>
    <row r="35" spans="1:18" ht="15.95" customHeight="1" thickBot="1">
      <c r="A35" s="93" t="s">
        <v>68</v>
      </c>
      <c r="B35" s="95" t="s">
        <v>72</v>
      </c>
      <c r="C35" s="96" t="s">
        <v>64</v>
      </c>
      <c r="D35" s="97"/>
      <c r="E35" s="88"/>
      <c r="F35" s="185">
        <f>5*SUM(D35:D38)</f>
        <v>0</v>
      </c>
      <c r="G35" s="186"/>
      <c r="H35" s="88"/>
      <c r="I35" s="185" t="str">
        <f>IF(SUM(K4:K29)=0,"0",ROUND(SUM(K4:K29)/SUM(L4:L29)*40,0))</f>
        <v>0</v>
      </c>
      <c r="J35" s="186"/>
      <c r="K35" s="89"/>
      <c r="L35" s="89"/>
      <c r="M35" s="33"/>
      <c r="N35" s="98"/>
      <c r="O35" s="33"/>
      <c r="P35" s="33" t="str">
        <f>P34&amp;""&amp;O35</f>
        <v/>
      </c>
      <c r="Q35" s="82"/>
      <c r="R35" s="18"/>
    </row>
    <row r="36" spans="1:18" ht="15.95" customHeight="1" thickBot="1">
      <c r="A36" s="93" t="s">
        <v>69</v>
      </c>
      <c r="B36" s="99"/>
      <c r="C36" s="96" t="s">
        <v>64</v>
      </c>
      <c r="D36" s="97"/>
      <c r="E36" s="88"/>
      <c r="F36" s="191" t="str">
        <f>IF(F35&lt;100,"nicht best. (&lt;100P.)","")</f>
        <v>nicht best. (&lt;100P.)</v>
      </c>
      <c r="G36" s="191"/>
      <c r="H36" s="88"/>
      <c r="I36" s="191" t="str">
        <f>IF(I35&lt;200,"nicht best. (&lt;200P.)","")</f>
        <v/>
      </c>
      <c r="J36" s="191"/>
      <c r="K36" s="89"/>
      <c r="L36" s="89"/>
      <c r="M36" s="33"/>
      <c r="N36" s="98"/>
      <c r="O36" s="33"/>
      <c r="P36" s="33"/>
      <c r="Q36" s="82"/>
      <c r="R36" s="18"/>
    </row>
    <row r="37" spans="1:18" ht="15.95" customHeight="1" thickBot="1">
      <c r="A37" s="93" t="s">
        <v>70</v>
      </c>
      <c r="B37" s="99"/>
      <c r="C37" s="100" t="s">
        <v>66</v>
      </c>
      <c r="D37" s="97"/>
      <c r="E37" s="88"/>
      <c r="F37" s="181" t="s">
        <v>78</v>
      </c>
      <c r="G37" s="182"/>
      <c r="H37" s="88"/>
      <c r="I37" s="192" t="s">
        <v>79</v>
      </c>
      <c r="J37" s="193"/>
      <c r="K37" s="89"/>
      <c r="L37" s="89"/>
      <c r="M37" s="89"/>
      <c r="N37" s="89"/>
      <c r="O37" s="89"/>
      <c r="P37" s="89"/>
      <c r="Q37" s="82"/>
      <c r="R37" s="18"/>
    </row>
    <row r="38" spans="1:18" ht="15.95" customHeight="1" thickBot="1">
      <c r="A38" s="93" t="s">
        <v>71</v>
      </c>
      <c r="B38" s="99"/>
      <c r="C38" s="100" t="s">
        <v>66</v>
      </c>
      <c r="D38" s="97"/>
      <c r="E38" s="88"/>
      <c r="F38" s="185">
        <f>F35+I35</f>
        <v>0</v>
      </c>
      <c r="G38" s="186"/>
      <c r="H38" s="88"/>
      <c r="I38" s="194" t="str">
        <f>IF(AND(A39="",A40="",A41="",A42="",A43="",B39="",B40="",B41="",B42="",B43="",C39="",C40="",F36="",I36="",G31="",I30="",Q3="",Q4="",Q5="",Q6="",Q7="",Q8="",Q9="",Q10="",Q11="",Q12="",Q13="",Q14="",Q15="",Q16="",Q17="",Q18="",Q19="",Q20="",Q21="",Q22="",Q23="",Q24="",Q25="",Q26="",Q27="",Q28="",Q30="",Q32="",R3="",R4="",R5="",R8="",R9="",R10="",R11="",R12="",R13="",R14="",R15="",R16="",R17="",R18="",R19="",R20="",R21="",R22="",R23="",R24="",R25="",R26="",R27="",R28="",R30="",R31=""),P4,"Fehler vorhanden")</f>
        <v>Fehler vorhanden</v>
      </c>
      <c r="J38" s="195"/>
      <c r="K38" s="89"/>
      <c r="L38" s="89"/>
      <c r="M38" s="89"/>
      <c r="N38" s="89"/>
      <c r="O38" s="89"/>
      <c r="P38" s="89"/>
      <c r="Q38" s="82"/>
      <c r="R38" s="18" t="str">
        <f>IF(COUNTIF(C35:C37,"EN")&lt;2,"mind. 2x EN wählen!","")</f>
        <v/>
      </c>
    </row>
    <row r="39" spans="1:18" ht="15.95" customHeight="1">
      <c r="A39" s="93"/>
      <c r="B39" s="101" t="str">
        <f>IF(COUNTIF(B35:B38,"Deutsch")+COUNTIF(B35:B38,"Mathematik")+COUNTIF(B35:B38,"Englisch")+COUNTIF(B35:B38,"Spanisch")+COUNTIF(B35:B38,"Französisch")+COUNTIF(B35:B38,"Latein")&lt;2,"2 Kernfächer wählen!",IF(OR(B35=B36,B35=B37,B35=B38,B36=B37,B36=B38,B37=B38),"versch. Fächer wählen!",""))</f>
        <v>2 Kernfächer wählen!</v>
      </c>
      <c r="C39" s="187" t="str">
        <f>IF(COUNTIF(D35:D38,"&lt;5")&gt;2,"nicht best. (3-4mal &lt; 5 P.)","")</f>
        <v/>
      </c>
      <c r="D39" s="188"/>
      <c r="E39" s="188"/>
      <c r="F39" s="189"/>
      <c r="G39" s="189"/>
      <c r="H39" s="88"/>
      <c r="I39" s="89"/>
      <c r="J39" s="89"/>
      <c r="K39" s="89"/>
      <c r="L39" s="89"/>
      <c r="M39" s="89"/>
      <c r="N39" s="89"/>
      <c r="O39" s="89"/>
      <c r="P39" s="89"/>
      <c r="Q39" s="82"/>
      <c r="R39" s="90"/>
    </row>
    <row r="40" spans="1:18" ht="15.95" customHeight="1">
      <c r="A40" s="104" t="str">
        <f>IF(COUNTIF(B$4:B$29,B35)=1,"","1. Prüfungsfach in Block 1 nicht belegt!")</f>
        <v>1. Prüfungsfach in Block 1 nicht belegt!</v>
      </c>
      <c r="B40" s="105" t="str">
        <f>IF(COUNTIF(B35:B38,"Deutsch")+COUNTIF(B35:B38,"Englisch")+COUNTIF(B35:B38,"Spanisch")+COUNTIF(B35:B38,"Französisch")+COUNTIF(B35:B38,"Latein")+COUNTIF(B35:B38,"Kunst")+COUNTIF(B35:B38,"Musik")+COUNTIF(B35:B38,DSP)=0,"1. Aufgabenfeld fehlt!","")</f>
        <v>1. Aufgabenfeld fehlt!</v>
      </c>
      <c r="C40" s="187" t="str">
        <f>IF(OR(D35&gt;45,D36&gt;4),"",IF(AND(C37="EN",D37&gt;4),"",IF(AND(C38="EN",D38&gt;4),"","nicht bestanden (EN &lt; 5 P.)")))</f>
        <v>nicht bestanden (EN &lt; 5 P.)</v>
      </c>
      <c r="D40" s="190"/>
      <c r="E40" s="190"/>
      <c r="F40" s="88"/>
      <c r="G40" s="88"/>
      <c r="H40" s="88"/>
      <c r="I40" s="89"/>
      <c r="J40" s="89"/>
      <c r="K40" s="89"/>
      <c r="L40" s="89"/>
      <c r="M40" s="89"/>
      <c r="N40" s="89"/>
      <c r="O40" s="89"/>
      <c r="P40" s="89"/>
      <c r="Q40" s="82"/>
      <c r="R40" s="90"/>
    </row>
    <row r="41" spans="1:18" ht="15.95" customHeight="1">
      <c r="A41" s="104" t="str">
        <f>IF(COUNTIF(B$4:B$29,B36)=1,"","2. Prüfungsfach in Block 1 nicht belegt!")</f>
        <v>2. Prüfungsfach in Block 1 nicht belegt!</v>
      </c>
      <c r="B41" s="105" t="str">
        <f>IF(COUNTIF(B35:B38,"PGW")+COUNTIF(B35:B38,"Geschichte")+COUNTIF(B35:B38,"Geographie")+COUNTIF(B35:B38,"Religion")+COUNTIF(B35:B38,"Philosophie")+COUNTIF(B35:B38,"Pädagogik")+COUNTIF(B35:B38,"Psychologie")=0,"2. Aufgabenfeld fehlt!","")</f>
        <v>2. Aufgabenfeld fehlt!</v>
      </c>
      <c r="C41" s="106"/>
      <c r="D41" s="106"/>
      <c r="E41" s="106"/>
      <c r="F41" s="88"/>
      <c r="G41" s="88"/>
      <c r="H41" s="88"/>
      <c r="I41" s="89"/>
      <c r="J41" s="89"/>
      <c r="K41" s="89"/>
      <c r="L41" s="89"/>
      <c r="M41" s="89"/>
      <c r="N41" s="89"/>
      <c r="O41" s="89"/>
      <c r="P41" s="89"/>
      <c r="Q41" s="82"/>
      <c r="R41" s="90"/>
    </row>
    <row r="42" spans="1:18" ht="15.95" customHeight="1">
      <c r="A42" s="104" t="str">
        <f>IF(COUNTIF(B$4:B$29,B37)=1,"","3. Prüfungsfach in Block 1 nicht belegt!")</f>
        <v>3. Prüfungsfach in Block 1 nicht belegt!</v>
      </c>
      <c r="B42" s="105" t="str">
        <f>IF(COUNTIF(B35:B38,"Mathematik")+COUNTIF(B35:B38,"Biologie")+COUNTIF(B35:B38,"Chemie")+COUNTIF(B35:B38,"Physik")+COUNTIF(B35:B38,"Informatik")=0,"3. Aufgabenfeld fehlt!","")</f>
        <v>3. Aufgabenfeld fehlt!</v>
      </c>
      <c r="C42" s="92"/>
      <c r="D42" s="92"/>
      <c r="E42" s="88"/>
      <c r="F42" s="88"/>
      <c r="G42" s="88"/>
      <c r="H42" s="88"/>
      <c r="I42" s="89"/>
      <c r="J42" s="89"/>
      <c r="K42" s="89"/>
      <c r="L42" s="89"/>
      <c r="M42" s="89"/>
      <c r="N42" s="89"/>
      <c r="O42" s="89"/>
      <c r="P42" s="89"/>
      <c r="Q42" s="82"/>
      <c r="R42" s="90"/>
    </row>
    <row r="43" spans="1:18" ht="15.95" customHeight="1" thickBot="1">
      <c r="A43" s="107" t="str">
        <f>IF(COUNTIF(B$4:B$29,B38)=1,"","4. Prüfungsfach in Block 1 nicht belegt!")</f>
        <v>4. Prüfungsfach in Block 1 nicht belegt!</v>
      </c>
      <c r="B43" s="108" t="str">
        <f>IF(COUNTIF(B35:B38,B8)=0,"profilgeb. Fach fehlt!","")</f>
        <v>profilgeb. Fach fehlt!</v>
      </c>
      <c r="C43" s="109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1"/>
      <c r="R43" s="112"/>
    </row>
  </sheetData>
  <mergeCells count="50">
    <mergeCell ref="C39:E39"/>
    <mergeCell ref="F39:G39"/>
    <mergeCell ref="C40:E40"/>
    <mergeCell ref="F36:G36"/>
    <mergeCell ref="I36:J36"/>
    <mergeCell ref="F37:G37"/>
    <mergeCell ref="I37:J37"/>
    <mergeCell ref="F38:G38"/>
    <mergeCell ref="I38:J38"/>
    <mergeCell ref="F34:G34"/>
    <mergeCell ref="I34:J34"/>
    <mergeCell ref="E30:G30"/>
    <mergeCell ref="F35:G35"/>
    <mergeCell ref="I35:J35"/>
    <mergeCell ref="A30:C30"/>
    <mergeCell ref="I30:K31"/>
    <mergeCell ref="C31:E31"/>
    <mergeCell ref="G31:H31"/>
    <mergeCell ref="F32:H32"/>
    <mergeCell ref="B24:C24"/>
    <mergeCell ref="B26:C26"/>
    <mergeCell ref="B27:C27"/>
    <mergeCell ref="B28:C28"/>
    <mergeCell ref="B29:C29"/>
    <mergeCell ref="B21:C23"/>
    <mergeCell ref="E21:E23"/>
    <mergeCell ref="F21:F23"/>
    <mergeCell ref="G21:G23"/>
    <mergeCell ref="H21:H23"/>
    <mergeCell ref="A4:A6"/>
    <mergeCell ref="B7:C7"/>
    <mergeCell ref="Q7:R7"/>
    <mergeCell ref="B9:C9"/>
    <mergeCell ref="B10:C10"/>
    <mergeCell ref="Q32:R32"/>
    <mergeCell ref="C1:I1"/>
    <mergeCell ref="B15:C15"/>
    <mergeCell ref="Q2:R2"/>
    <mergeCell ref="O3:P3"/>
    <mergeCell ref="B11:C11"/>
    <mergeCell ref="B12:C12"/>
    <mergeCell ref="B13:C13"/>
    <mergeCell ref="B14:C14"/>
    <mergeCell ref="Q12:R12"/>
    <mergeCell ref="B25:C25"/>
    <mergeCell ref="B16:C16"/>
    <mergeCell ref="B17:C17"/>
    <mergeCell ref="B18:C18"/>
    <mergeCell ref="B19:C19"/>
    <mergeCell ref="B20:C20"/>
  </mergeCells>
  <dataValidations count="18">
    <dataValidation type="list" allowBlank="1" showInputMessage="1" showErrorMessage="1" sqref="C37:C38">
      <formula1>$AE$3:$AE$4</formula1>
    </dataValidation>
    <dataValidation type="list" showInputMessage="1" showErrorMessage="1" sqref="B14:C14">
      <formula1>$AB$3:$AB$4</formula1>
    </dataValidation>
    <dataValidation type="list" showInputMessage="1" showErrorMessage="1" sqref="B17:C17">
      <formula1>$Y$3:$Y$5</formula1>
    </dataValidation>
    <dataValidation type="list" allowBlank="1" showInputMessage="1" showErrorMessage="1" sqref="B29:C29">
      <formula1>$AD$3:$AD$5</formula1>
    </dataValidation>
    <dataValidation type="list" showInputMessage="1" showErrorMessage="1" sqref="B5">
      <formula1>T3:T6</formula1>
    </dataValidation>
    <dataValidation type="list" showInputMessage="1" showErrorMessage="1" sqref="B15:C15">
      <formula1>$V$3:$V$5</formula1>
    </dataValidation>
    <dataValidation type="list" showInputMessage="1" showErrorMessage="1" sqref="B16:C16">
      <formula1>$U$3:$U$4</formula1>
    </dataValidation>
    <dataValidation type="list" allowBlank="1" showInputMessage="1" showErrorMessage="1" sqref="B20:C20">
      <formula1>$V$5:$V$6</formula1>
    </dataValidation>
    <dataValidation type="list" allowBlank="1" showInputMessage="1" showErrorMessage="1" sqref="B25:C25">
      <formula1>$Z$3:$Z$6</formula1>
    </dataValidation>
    <dataValidation type="list" allowBlank="1" showInputMessage="1" showErrorMessage="1" sqref="B28:C28">
      <formula1>$AC$3:$AC$4</formula1>
    </dataValidation>
    <dataValidation type="list" allowBlank="1" showInputMessage="1" showErrorMessage="1" sqref="B27:C27">
      <formula1>$AA$3:$AA$5</formula1>
    </dataValidation>
    <dataValidation type="list" allowBlank="1" showInputMessage="1" showErrorMessage="1" sqref="B26:C26">
      <formula1>$AB$4:$AB$5</formula1>
    </dataValidation>
    <dataValidation type="list" allowBlank="1" showInputMessage="1" showErrorMessage="1" sqref="B21:B23">
      <formula1>$W$3:$W$11</formula1>
    </dataValidation>
    <dataValidation type="list" allowBlank="1" showInputMessage="1" showErrorMessage="1" sqref="B24:C24">
      <formula1>$Y$3:$Y$6</formula1>
    </dataValidation>
    <dataValidation type="list" showInputMessage="1" showErrorMessage="1" sqref="B35">
      <formula1>$T$9:$T$14</formula1>
    </dataValidation>
    <dataValidation type="list" showInputMessage="1" showErrorMessage="1" sqref="C4:C6">
      <formula1>$AE$3:$AE$4</formula1>
    </dataValidation>
    <dataValidation type="list" showInputMessage="1" showErrorMessage="1" sqref="J10 J15 J4:J6 J20:J21">
      <formula1>$AF$3:$AF$4</formula1>
    </dataValidation>
    <dataValidation type="list" showInputMessage="1" showErrorMessage="1" sqref="B36:B38">
      <formula1>$AG$3:$AG$21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43"/>
  <sheetViews>
    <sheetView workbookViewId="0"/>
  </sheetViews>
  <sheetFormatPr baseColWidth="10" defaultRowHeight="15.95" customHeight="1"/>
  <cols>
    <col min="1" max="1" width="47.140625" style="8" customWidth="1"/>
    <col min="2" max="2" width="20.5703125" style="8" customWidth="1"/>
    <col min="3" max="10" width="8.7109375" style="8" customWidth="1"/>
    <col min="11" max="16" width="8.7109375" style="8" hidden="1" customWidth="1"/>
    <col min="17" max="17" width="23" style="6" customWidth="1"/>
    <col min="18" max="18" width="22.7109375" style="6" customWidth="1"/>
    <col min="19" max="19" width="16" style="6" hidden="1" customWidth="1"/>
    <col min="20" max="21" width="10.42578125" style="7" hidden="1" customWidth="1"/>
    <col min="22" max="22" width="8.5703125" style="7" hidden="1" customWidth="1"/>
    <col min="23" max="23" width="12.140625" style="7" hidden="1" customWidth="1"/>
    <col min="24" max="24" width="11.42578125" style="7" hidden="1" customWidth="1"/>
    <col min="25" max="25" width="7.28515625" style="7" hidden="1" customWidth="1"/>
    <col min="26" max="26" width="9.28515625" style="7" hidden="1" customWidth="1"/>
    <col min="27" max="27" width="19.28515625" style="7" hidden="1" customWidth="1"/>
    <col min="28" max="30" width="11.42578125" style="8" hidden="1" customWidth="1"/>
    <col min="31" max="31" width="3.85546875" style="8" hidden="1" customWidth="1"/>
    <col min="32" max="32" width="3.42578125" style="8" hidden="1" customWidth="1"/>
    <col min="33" max="33" width="1" style="8" hidden="1" customWidth="1"/>
    <col min="34" max="16384" width="11.42578125" style="8"/>
  </cols>
  <sheetData>
    <row r="1" spans="1:33" ht="15.95" customHeight="1" thickBot="1">
      <c r="A1" s="1" t="s">
        <v>82</v>
      </c>
      <c r="B1" s="2"/>
      <c r="C1" s="139" t="s">
        <v>87</v>
      </c>
      <c r="D1" s="139"/>
      <c r="E1" s="139"/>
      <c r="F1" s="139"/>
      <c r="G1" s="139"/>
      <c r="H1" s="139"/>
      <c r="I1" s="140"/>
      <c r="J1" s="2"/>
      <c r="K1" s="2"/>
      <c r="L1" s="2"/>
      <c r="M1" s="2"/>
      <c r="N1" s="2"/>
      <c r="O1" s="2"/>
      <c r="P1" s="2"/>
      <c r="Q1" s="4"/>
      <c r="R1" s="5"/>
    </row>
    <row r="2" spans="1:33" ht="15.95" customHeight="1" thickBot="1">
      <c r="A2" s="9"/>
      <c r="B2" s="10"/>
      <c r="C2" s="10"/>
      <c r="D2" s="10"/>
      <c r="E2" s="10"/>
      <c r="F2" s="10"/>
      <c r="G2" s="10"/>
      <c r="H2" s="10"/>
      <c r="Q2" s="143" t="str">
        <f>IF(I38="Fehler vorhanden","Fehlermeldungen","")</f>
        <v>Fehlermeldungen</v>
      </c>
      <c r="R2" s="144"/>
    </row>
    <row r="3" spans="1:33" s="23" customFormat="1" ht="15.95" customHeight="1" thickBot="1">
      <c r="A3" s="11" t="s">
        <v>3</v>
      </c>
      <c r="B3" s="12"/>
      <c r="C3" s="11" t="s">
        <v>4</v>
      </c>
      <c r="D3" s="13" t="s">
        <v>5</v>
      </c>
      <c r="E3" s="14" t="s">
        <v>59</v>
      </c>
      <c r="F3" s="11" t="s">
        <v>60</v>
      </c>
      <c r="G3" s="11" t="s">
        <v>61</v>
      </c>
      <c r="H3" s="135" t="s">
        <v>61</v>
      </c>
      <c r="I3" s="14" t="s">
        <v>0</v>
      </c>
      <c r="J3" s="11" t="s">
        <v>62</v>
      </c>
      <c r="K3" s="15" t="s">
        <v>75</v>
      </c>
      <c r="L3" s="15" t="s">
        <v>77</v>
      </c>
      <c r="M3" s="16" t="s">
        <v>1</v>
      </c>
      <c r="N3" s="16" t="s">
        <v>2</v>
      </c>
      <c r="O3" s="145" t="s">
        <v>80</v>
      </c>
      <c r="P3" s="145"/>
      <c r="Q3" s="17"/>
      <c r="R3" s="18" t="str">
        <f>IF(COUNTIF(C4:C6,"EN")&lt;2,"mind. 2x EN wählen!","")</f>
        <v>mind. 2x EN wählen!</v>
      </c>
      <c r="S3" s="19" t="s">
        <v>83</v>
      </c>
      <c r="T3" s="20" t="s">
        <v>20</v>
      </c>
      <c r="U3" s="7" t="s">
        <v>23</v>
      </c>
      <c r="V3" s="7" t="s">
        <v>25</v>
      </c>
      <c r="W3" s="20" t="s">
        <v>20</v>
      </c>
      <c r="X3" s="7" t="s">
        <v>30</v>
      </c>
      <c r="Y3" s="7" t="s">
        <v>33</v>
      </c>
      <c r="Z3" s="7" t="s">
        <v>35</v>
      </c>
      <c r="AA3" s="7" t="s">
        <v>32</v>
      </c>
      <c r="AB3" s="21" t="s">
        <v>9</v>
      </c>
      <c r="AC3" s="7" t="s">
        <v>39</v>
      </c>
      <c r="AD3" s="22" t="s">
        <v>9</v>
      </c>
      <c r="AE3" s="7" t="s">
        <v>64</v>
      </c>
      <c r="AF3" s="23">
        <v>1</v>
      </c>
      <c r="AG3" s="24" t="s">
        <v>6</v>
      </c>
    </row>
    <row r="4" spans="1:33" s="23" customFormat="1" ht="15.95" customHeight="1" thickBot="1">
      <c r="A4" s="156" t="s">
        <v>81</v>
      </c>
      <c r="B4" s="25" t="s">
        <v>6</v>
      </c>
      <c r="C4" s="26" t="s">
        <v>66</v>
      </c>
      <c r="D4" s="27">
        <v>4</v>
      </c>
      <c r="E4" s="28"/>
      <c r="F4" s="29"/>
      <c r="G4" s="29"/>
      <c r="H4" s="30"/>
      <c r="I4" s="31">
        <f>SUM(E4:H4)</f>
        <v>0</v>
      </c>
      <c r="J4" s="29">
        <f>IF(AND(C4="EN",OR(B4=B$35,B4=B$36,B4=B$37)),2,1)</f>
        <v>1</v>
      </c>
      <c r="K4" s="32">
        <f>IF(OR(J4=1,J4=2),I4*J4,"")</f>
        <v>0</v>
      </c>
      <c r="L4" s="32">
        <f>COUNT(E4:H4)*J4</f>
        <v>0</v>
      </c>
      <c r="M4" s="33">
        <v>300</v>
      </c>
      <c r="N4" s="34">
        <v>4</v>
      </c>
      <c r="O4" s="33" t="str">
        <f t="shared" ref="O4:O32" si="0">IF(P5&lt;&gt;"","",IF($F$38&gt;=M4,N4,""))</f>
        <v/>
      </c>
      <c r="P4" s="33" t="str">
        <f t="shared" ref="P4:P32" si="1">O4&amp;""&amp;P5</f>
        <v/>
      </c>
      <c r="Q4" s="17" t="str">
        <f>IF(COUNTBLANK(E4:H4)&gt;0,"Alle 4 Noten eintragen!",IF(COUNTIF(E4:H4,0)&gt;0,"0 Punkte  =&gt; nicht best.!",""))</f>
        <v>Alle 4 Noten eintragen!</v>
      </c>
      <c r="R4" s="18" t="str">
        <f>IF(C4="Niveau?","Niveau wählen!","")</f>
        <v>Niveau wählen!</v>
      </c>
      <c r="S4" s="35" t="str">
        <f>IF(J4=2,IF(AND(OR(B4=B$35,B4=B$36,B4=B$37),C4="EN"),"ja","nein"),"")</f>
        <v/>
      </c>
      <c r="T4" s="7" t="s">
        <v>21</v>
      </c>
      <c r="U4" s="7" t="s">
        <v>24</v>
      </c>
      <c r="V4" s="7" t="s">
        <v>26</v>
      </c>
      <c r="W4" s="7" t="s">
        <v>21</v>
      </c>
      <c r="X4" s="7" t="s">
        <v>31</v>
      </c>
      <c r="Y4" s="7" t="s">
        <v>49</v>
      </c>
      <c r="Z4" s="7" t="s">
        <v>36</v>
      </c>
      <c r="AA4" s="7" t="s">
        <v>38</v>
      </c>
      <c r="AB4" s="7" t="s">
        <v>41</v>
      </c>
      <c r="AC4" s="7" t="s">
        <v>42</v>
      </c>
      <c r="AD4" s="22" t="s">
        <v>11</v>
      </c>
      <c r="AE4" s="7" t="s">
        <v>65</v>
      </c>
      <c r="AF4" s="23">
        <v>2</v>
      </c>
      <c r="AG4" s="7" t="s">
        <v>7</v>
      </c>
    </row>
    <row r="5" spans="1:33" s="23" customFormat="1" ht="15.95" customHeight="1" thickBot="1">
      <c r="A5" s="157"/>
      <c r="B5" s="36" t="s">
        <v>84</v>
      </c>
      <c r="C5" s="26" t="s">
        <v>66</v>
      </c>
      <c r="D5" s="27">
        <v>4</v>
      </c>
      <c r="E5" s="28"/>
      <c r="F5" s="29"/>
      <c r="G5" s="29"/>
      <c r="H5" s="30"/>
      <c r="I5" s="31">
        <f>SUM(E5:H5)</f>
        <v>0</v>
      </c>
      <c r="J5" s="29">
        <f>IF(AND(C5="EN",OR(B5=B$35,B5=B$36,B5=B$37)),2,1)</f>
        <v>1</v>
      </c>
      <c r="K5" s="32">
        <f>IF(OR(J5=1,J5=2),I5*J5,"")</f>
        <v>0</v>
      </c>
      <c r="L5" s="32">
        <f>COUNT(E5:H5)*J5</f>
        <v>0</v>
      </c>
      <c r="M5" s="33">
        <v>301</v>
      </c>
      <c r="N5" s="37">
        <v>3.9</v>
      </c>
      <c r="O5" s="33" t="str">
        <f t="shared" si="0"/>
        <v/>
      </c>
      <c r="P5" s="33" t="str">
        <f t="shared" si="1"/>
        <v/>
      </c>
      <c r="Q5" s="17" t="str">
        <f>IF(COUNTBLANK(E5:H5)&gt;0,"Alle 4 Noten eintragen!",IF(COUNTIF(E5:H5,0)&gt;0,"0 Punkte  =&gt; nicht best.!",""))</f>
        <v>Alle 4 Noten eintragen!</v>
      </c>
      <c r="R5" s="18" t="str">
        <f>IF(C5="Niveau?","Niveau wählen!","")</f>
        <v>Niveau wählen!</v>
      </c>
      <c r="S5" s="35" t="str">
        <f t="shared" ref="S5:S6" si="2">IF(J5=2,IF(AND(OR(B5=B$35,B5=B$36,B5=B$37),C5="EN"),"ja","nein"),"")</f>
        <v/>
      </c>
      <c r="T5" s="24" t="s">
        <v>28</v>
      </c>
      <c r="U5" s="7"/>
      <c r="V5" s="7" t="s">
        <v>27</v>
      </c>
      <c r="W5" s="24" t="s">
        <v>28</v>
      </c>
      <c r="X5" s="7" t="s">
        <v>32</v>
      </c>
      <c r="Y5" s="7" t="s">
        <v>34</v>
      </c>
      <c r="Z5" s="7" t="s">
        <v>37</v>
      </c>
      <c r="AA5" s="7" t="s">
        <v>42</v>
      </c>
      <c r="AB5" s="7" t="s">
        <v>42</v>
      </c>
      <c r="AD5" s="22" t="s">
        <v>42</v>
      </c>
      <c r="AG5" s="20" t="s">
        <v>20</v>
      </c>
    </row>
    <row r="6" spans="1:33" s="23" customFormat="1" ht="15.95" customHeight="1" thickBot="1">
      <c r="A6" s="158"/>
      <c r="B6" s="25" t="s">
        <v>7</v>
      </c>
      <c r="C6" s="26" t="s">
        <v>66</v>
      </c>
      <c r="D6" s="27">
        <v>4</v>
      </c>
      <c r="E6" s="28"/>
      <c r="F6" s="29"/>
      <c r="G6" s="29"/>
      <c r="H6" s="30"/>
      <c r="I6" s="31">
        <f>SUM(E6:H6)</f>
        <v>0</v>
      </c>
      <c r="J6" s="29">
        <f>IF(AND(C6="EN",OR(B6=B$35,B6=B$36,B6=B$37)),2,1)</f>
        <v>1</v>
      </c>
      <c r="K6" s="32">
        <f>IF(OR(J6=1,J6=2),I6*J6,"")</f>
        <v>0</v>
      </c>
      <c r="L6" s="32">
        <f>COUNT(E6:H6)*J6</f>
        <v>0</v>
      </c>
      <c r="M6" s="33">
        <v>319</v>
      </c>
      <c r="N6" s="37">
        <v>3.8</v>
      </c>
      <c r="O6" s="33" t="str">
        <f t="shared" si="0"/>
        <v/>
      </c>
      <c r="P6" s="33" t="str">
        <f t="shared" si="1"/>
        <v/>
      </c>
      <c r="Q6" s="17" t="str">
        <f>IF(COUNTBLANK(E6:H6)&gt;0,"Alle 4 Noten eintragen!",IF(COUNTIF(E6:H6,0)&gt;0,"0 Punkte  =&gt; nicht best.!",""))</f>
        <v>Alle 4 Noten eintragen!</v>
      </c>
      <c r="R6" s="18" t="str">
        <f>IF(C6="Niveau?","Niveau wählen!","")</f>
        <v>Niveau wählen!</v>
      </c>
      <c r="S6" s="35" t="str">
        <f t="shared" si="2"/>
        <v/>
      </c>
      <c r="T6" s="7" t="s">
        <v>22</v>
      </c>
      <c r="U6" s="7"/>
      <c r="V6" s="7" t="s">
        <v>42</v>
      </c>
      <c r="W6" s="7" t="s">
        <v>22</v>
      </c>
      <c r="X6" s="7" t="s">
        <v>42</v>
      </c>
      <c r="Y6" s="7" t="s">
        <v>42</v>
      </c>
      <c r="Z6" s="7" t="s">
        <v>42</v>
      </c>
      <c r="AA6" s="7"/>
      <c r="AG6" s="7" t="s">
        <v>21</v>
      </c>
    </row>
    <row r="7" spans="1:33" s="23" customFormat="1" ht="15.75" customHeight="1" thickBot="1">
      <c r="A7" s="38" t="s">
        <v>8</v>
      </c>
      <c r="B7" s="148"/>
      <c r="C7" s="149"/>
      <c r="D7" s="40"/>
      <c r="E7" s="41"/>
      <c r="F7" s="42"/>
      <c r="G7" s="42"/>
      <c r="H7" s="43"/>
      <c r="I7" s="44"/>
      <c r="J7" s="42"/>
      <c r="K7" s="45"/>
      <c r="L7" s="45"/>
      <c r="M7" s="46">
        <v>337</v>
      </c>
      <c r="N7" s="47">
        <v>3.7</v>
      </c>
      <c r="O7" s="46" t="str">
        <f t="shared" si="0"/>
        <v/>
      </c>
      <c r="P7" s="46" t="str">
        <f t="shared" si="1"/>
        <v/>
      </c>
      <c r="Q7" s="137" t="str">
        <f>IF(COUNTIF(J4:J6,2)=0,"Faktor e. EN-Kern- u. schr. Pr.fachs muss 2 sein!",IF(AND(COUNTIF(J4:J6,2)=1,S7=1),"Faktor e. EN-Kern u. schr. Pr.fachs muss 2 sein!",IF(AND(COUNTIF(J4:J6,2)=2,S7=2),"Faktor e. EN-Kern u. schr. Pr.fachs muss 2 sein!",IF(AND(COUNTIF(J4:J6,2)=3,S7=3),"Faktor e. EN-Kern u. schr. Pr.fachs muss 2 sein!",""))))</f>
        <v>Faktor e. EN-Kern- u. schr. Pr.fachs muss 2 sein!</v>
      </c>
      <c r="R7" s="159"/>
      <c r="S7" s="49">
        <f>COUNTIF(S4:S6,"nein")</f>
        <v>0</v>
      </c>
      <c r="T7" s="24"/>
      <c r="U7" s="7"/>
      <c r="V7" s="7"/>
      <c r="W7" s="7" t="s">
        <v>29</v>
      </c>
      <c r="X7" s="7"/>
      <c r="Y7" s="7"/>
      <c r="Z7" s="7"/>
      <c r="AA7" s="7"/>
      <c r="AG7" s="24" t="s">
        <v>28</v>
      </c>
    </row>
    <row r="8" spans="1:33" s="23" customFormat="1" ht="15.95" customHeight="1" thickBot="1">
      <c r="A8" s="50" t="s">
        <v>44</v>
      </c>
      <c r="B8" s="51" t="s">
        <v>14</v>
      </c>
      <c r="C8" s="52" t="s">
        <v>64</v>
      </c>
      <c r="D8" s="27">
        <v>6</v>
      </c>
      <c r="E8" s="28"/>
      <c r="F8" s="29"/>
      <c r="G8" s="29"/>
      <c r="H8" s="30"/>
      <c r="I8" s="31">
        <f>SUM(E8:H8)</f>
        <v>0</v>
      </c>
      <c r="J8" s="52">
        <v>2</v>
      </c>
      <c r="K8" s="45">
        <f>IF(OR(J8=1,J8=2),I8*J8,"")</f>
        <v>0</v>
      </c>
      <c r="L8" s="45">
        <f>COUNT(E8:H8)*J8</f>
        <v>0</v>
      </c>
      <c r="M8" s="46">
        <v>355</v>
      </c>
      <c r="N8" s="47">
        <v>3.6</v>
      </c>
      <c r="O8" s="46" t="str">
        <f t="shared" si="0"/>
        <v/>
      </c>
      <c r="P8" s="46" t="str">
        <f t="shared" si="1"/>
        <v/>
      </c>
      <c r="Q8" s="48" t="str">
        <f>IF(COUNTBLANK(E8:H8)&gt;0,"Alle 4 Noten eintragen!","")</f>
        <v>Alle 4 Noten eintragen!</v>
      </c>
      <c r="R8" s="18" t="str">
        <f>IF(OR(B8=B$36,B8=B$37,B8=B$38),IF(COUNTIF(E8:H8,0)&gt;0,"0 Punkte  =&gt; nicht best.!",""),"")</f>
        <v/>
      </c>
      <c r="S8" s="49"/>
      <c r="T8" s="24"/>
      <c r="U8" s="7"/>
      <c r="V8" s="7"/>
      <c r="W8" s="7" t="s">
        <v>30</v>
      </c>
      <c r="X8" s="7"/>
      <c r="Y8" s="7"/>
      <c r="Z8" s="7"/>
      <c r="AA8" s="7"/>
      <c r="AG8" s="7" t="s">
        <v>22</v>
      </c>
    </row>
    <row r="9" spans="1:33" s="23" customFormat="1" ht="15.95" customHeight="1" thickBot="1">
      <c r="A9" s="50" t="s">
        <v>45</v>
      </c>
      <c r="B9" s="146" t="s">
        <v>25</v>
      </c>
      <c r="C9" s="147"/>
      <c r="D9" s="27">
        <v>4</v>
      </c>
      <c r="E9" s="28"/>
      <c r="F9" s="29"/>
      <c r="G9" s="29"/>
      <c r="H9" s="30"/>
      <c r="I9" s="31">
        <f>SUM(E9:H9)</f>
        <v>0</v>
      </c>
      <c r="J9" s="113">
        <f>IF(D9=4,1,"")</f>
        <v>1</v>
      </c>
      <c r="K9" s="45">
        <f>IF(OR(J9=1,J9=2),I9*J9,"")</f>
        <v>0</v>
      </c>
      <c r="L9" s="45">
        <f>COUNT(E9:H9)*J9</f>
        <v>0</v>
      </c>
      <c r="M9" s="46">
        <v>373</v>
      </c>
      <c r="N9" s="47">
        <v>3.5</v>
      </c>
      <c r="O9" s="46" t="str">
        <f t="shared" si="0"/>
        <v/>
      </c>
      <c r="P9" s="46" t="str">
        <f t="shared" si="1"/>
        <v/>
      </c>
      <c r="Q9" s="17" t="str">
        <f t="shared" ref="Q9:Q28" si="3">IF(OR(B9=B$36,B9=B$37,B9=B$38),IF(COUNTBLANK(E9:H9)&gt;0,"Alle 4 Noten eintragen!",""),"")</f>
        <v/>
      </c>
      <c r="R9" s="18" t="str">
        <f t="shared" ref="R9:R17" si="4">IF(OR(B9=B$36,B9=B$37,B9=B$38),IF(COUNTIF(E9:H9,0)&gt;0,"0 Punkte  =&gt; nicht best.!",""),"")</f>
        <v/>
      </c>
      <c r="S9" s="49"/>
      <c r="T9" s="24" t="s">
        <v>6</v>
      </c>
      <c r="U9" s="7"/>
      <c r="V9" s="7"/>
      <c r="W9" s="7" t="s">
        <v>31</v>
      </c>
      <c r="X9" s="7"/>
      <c r="Y9" s="7"/>
      <c r="Z9" s="7"/>
      <c r="AA9" s="7"/>
      <c r="AG9" s="7" t="s">
        <v>25</v>
      </c>
    </row>
    <row r="10" spans="1:33" s="23" customFormat="1" ht="15.95" customHeight="1" thickBot="1">
      <c r="A10" s="50" t="s">
        <v>45</v>
      </c>
      <c r="B10" s="146" t="s">
        <v>11</v>
      </c>
      <c r="C10" s="147"/>
      <c r="D10" s="27">
        <v>2</v>
      </c>
      <c r="E10" s="28"/>
      <c r="F10" s="29"/>
      <c r="G10" s="29"/>
      <c r="H10" s="30"/>
      <c r="I10" s="31">
        <f>IF(D10="","",SUM(E10:H10))</f>
        <v>0</v>
      </c>
      <c r="J10" s="52">
        <f>IF(D10=2,1,"")</f>
        <v>1</v>
      </c>
      <c r="K10" s="45">
        <f>IF(OR(J10=1,J10=2),I10*J10,"")</f>
        <v>0</v>
      </c>
      <c r="L10" s="45">
        <f>COUNT(E10:H10)*J10</f>
        <v>0</v>
      </c>
      <c r="M10" s="46">
        <v>391</v>
      </c>
      <c r="N10" s="47">
        <v>3.4</v>
      </c>
      <c r="O10" s="46" t="str">
        <f t="shared" si="0"/>
        <v/>
      </c>
      <c r="P10" s="46" t="str">
        <f t="shared" si="1"/>
        <v/>
      </c>
      <c r="Q10" s="17" t="str">
        <f>IF(OR(B10=B$36,B10=B$37,B10=B$38),IF(COUNTBLANK(E10:H10)&gt;0,"Alle 4 Noten eintragen!",""),"")</f>
        <v/>
      </c>
      <c r="R10" s="18" t="str">
        <f t="shared" si="4"/>
        <v/>
      </c>
      <c r="S10" s="49"/>
      <c r="T10" s="7" t="s">
        <v>7</v>
      </c>
      <c r="U10" s="7"/>
      <c r="V10" s="7"/>
      <c r="W10" s="7" t="s">
        <v>32</v>
      </c>
      <c r="X10" s="7"/>
      <c r="Y10" s="7"/>
      <c r="Z10" s="7"/>
      <c r="AA10" s="7"/>
      <c r="AG10" s="7" t="s">
        <v>26</v>
      </c>
    </row>
    <row r="11" spans="1:33" s="23" customFormat="1" ht="15.95" hidden="1" customHeight="1" thickBot="1">
      <c r="A11" s="50"/>
      <c r="B11" s="146"/>
      <c r="C11" s="147"/>
      <c r="D11" s="27"/>
      <c r="E11" s="28"/>
      <c r="F11" s="29"/>
      <c r="G11" s="29"/>
      <c r="H11" s="30"/>
      <c r="I11" s="31"/>
      <c r="J11" s="52"/>
      <c r="K11" s="45"/>
      <c r="L11" s="45"/>
      <c r="M11" s="46"/>
      <c r="N11" s="47"/>
      <c r="O11" s="46"/>
      <c r="P11" s="46"/>
      <c r="Q11" s="17"/>
      <c r="R11" s="18"/>
      <c r="S11" s="49"/>
      <c r="T11" s="20" t="s">
        <v>20</v>
      </c>
      <c r="U11" s="7"/>
      <c r="V11" s="7"/>
      <c r="W11" s="7" t="s">
        <v>42</v>
      </c>
      <c r="X11" s="7"/>
      <c r="Y11" s="7"/>
      <c r="Z11" s="7"/>
      <c r="AA11" s="7"/>
      <c r="AG11" s="7" t="s">
        <v>27</v>
      </c>
    </row>
    <row r="12" spans="1:33" s="23" customFormat="1" ht="15.95" customHeight="1" thickBot="1">
      <c r="A12" s="38" t="s">
        <v>13</v>
      </c>
      <c r="B12" s="148"/>
      <c r="C12" s="149"/>
      <c r="D12" s="40"/>
      <c r="E12" s="41"/>
      <c r="F12" s="42"/>
      <c r="G12" s="42"/>
      <c r="H12" s="43"/>
      <c r="I12" s="44"/>
      <c r="J12" s="42"/>
      <c r="K12" s="45"/>
      <c r="L12" s="45"/>
      <c r="M12" s="46">
        <v>427</v>
      </c>
      <c r="N12" s="47">
        <v>3.2</v>
      </c>
      <c r="O12" s="46" t="str">
        <f t="shared" si="0"/>
        <v/>
      </c>
      <c r="P12" s="46" t="str">
        <f t="shared" si="1"/>
        <v/>
      </c>
      <c r="Q12" s="137"/>
      <c r="R12" s="154"/>
      <c r="S12" s="49"/>
      <c r="T12" s="7" t="s">
        <v>21</v>
      </c>
      <c r="U12" s="7"/>
      <c r="V12" s="7"/>
      <c r="W12" s="7"/>
      <c r="X12" s="7"/>
      <c r="Y12" s="7"/>
      <c r="Z12" s="7"/>
      <c r="AA12" s="7"/>
      <c r="AG12" s="21" t="s">
        <v>9</v>
      </c>
    </row>
    <row r="13" spans="1:33" s="60" customFormat="1" ht="15.95" hidden="1" customHeight="1" thickBot="1">
      <c r="A13" s="54"/>
      <c r="B13" s="150"/>
      <c r="C13" s="151"/>
      <c r="D13" s="55"/>
      <c r="E13" s="56"/>
      <c r="F13" s="57"/>
      <c r="G13" s="57"/>
      <c r="H13" s="58"/>
      <c r="I13" s="31" t="str">
        <f t="shared" ref="I13:I17" si="5">IF(D13="","",SUM(E13:H13))</f>
        <v/>
      </c>
      <c r="J13" s="52" t="str">
        <f>IF(D13=2,1,"")</f>
        <v/>
      </c>
      <c r="K13" s="45" t="str">
        <f t="shared" ref="K13:K17" si="6">IF(OR(J13=1,J13=2),I13*J13,"")</f>
        <v/>
      </c>
      <c r="L13" s="45" t="str">
        <f t="shared" ref="L13:L17" si="7">IF(COUNT(E13:H13)=0,"",COUNT(E13:H13)*J13)</f>
        <v/>
      </c>
      <c r="M13" s="46">
        <v>445</v>
      </c>
      <c r="N13" s="47">
        <v>3.1</v>
      </c>
      <c r="O13" s="46" t="str">
        <f t="shared" si="0"/>
        <v/>
      </c>
      <c r="P13" s="46" t="str">
        <f t="shared" si="1"/>
        <v/>
      </c>
      <c r="Q13" s="17"/>
      <c r="R13" s="18"/>
      <c r="S13" s="59"/>
      <c r="T13" s="24" t="s">
        <v>28</v>
      </c>
      <c r="U13" s="7"/>
      <c r="V13" s="7"/>
      <c r="W13" s="7"/>
      <c r="X13" s="7"/>
      <c r="Y13" s="7"/>
      <c r="Z13" s="7"/>
      <c r="AA13" s="7"/>
      <c r="AG13" s="7" t="s">
        <v>41</v>
      </c>
    </row>
    <row r="14" spans="1:33" s="60" customFormat="1" ht="15.95" customHeight="1" thickBot="1">
      <c r="A14" s="61" t="s">
        <v>53</v>
      </c>
      <c r="B14" s="152" t="s">
        <v>40</v>
      </c>
      <c r="C14" s="153"/>
      <c r="D14" s="63">
        <v>2</v>
      </c>
      <c r="E14" s="56"/>
      <c r="F14" s="57"/>
      <c r="G14" s="57"/>
      <c r="H14" s="58"/>
      <c r="I14" s="31">
        <f t="shared" si="5"/>
        <v>0</v>
      </c>
      <c r="J14" s="52">
        <f>IF(D14=2,1,"")</f>
        <v>1</v>
      </c>
      <c r="K14" s="45">
        <f t="shared" si="6"/>
        <v>0</v>
      </c>
      <c r="L14" s="45" t="str">
        <f t="shared" si="7"/>
        <v/>
      </c>
      <c r="M14" s="46">
        <v>463</v>
      </c>
      <c r="N14" s="64">
        <v>3</v>
      </c>
      <c r="O14" s="46" t="str">
        <f t="shared" si="0"/>
        <v/>
      </c>
      <c r="P14" s="46" t="str">
        <f t="shared" si="1"/>
        <v/>
      </c>
      <c r="Q14" s="17" t="str">
        <f>IF(OR(B14=B$36,B14=B$37,B14=B$38),IF(COUNTBLANK(E14:H14)&gt;0,"Alle 4 Noten eintragen!",""),"")</f>
        <v/>
      </c>
      <c r="R14" s="18" t="str">
        <f t="shared" si="4"/>
        <v/>
      </c>
      <c r="S14" s="59"/>
      <c r="T14" s="7" t="s">
        <v>22</v>
      </c>
      <c r="U14" s="7"/>
      <c r="V14" s="7"/>
      <c r="W14" s="7"/>
      <c r="X14" s="7"/>
      <c r="Y14" s="7"/>
      <c r="Z14" s="7"/>
      <c r="AA14" s="7"/>
      <c r="AG14" s="22" t="s">
        <v>11</v>
      </c>
    </row>
    <row r="15" spans="1:33" s="23" customFormat="1" ht="15.95" hidden="1" customHeight="1" thickBot="1">
      <c r="A15" s="50"/>
      <c r="B15" s="141"/>
      <c r="C15" s="142"/>
      <c r="D15" s="27"/>
      <c r="E15" s="28"/>
      <c r="F15" s="29"/>
      <c r="G15" s="29"/>
      <c r="H15" s="30"/>
      <c r="I15" s="31"/>
      <c r="J15" s="29"/>
      <c r="K15" s="45"/>
      <c r="L15" s="45"/>
      <c r="M15" s="46"/>
      <c r="N15" s="47"/>
      <c r="O15" s="46"/>
      <c r="P15" s="46"/>
      <c r="Q15" s="17"/>
      <c r="R15" s="18"/>
      <c r="S15" s="49"/>
      <c r="U15" s="7"/>
      <c r="V15" s="7"/>
      <c r="W15" s="7"/>
      <c r="X15" s="7"/>
      <c r="Y15" s="7"/>
      <c r="Z15" s="7"/>
      <c r="AA15" s="7"/>
      <c r="AG15" s="7" t="s">
        <v>23</v>
      </c>
    </row>
    <row r="16" spans="1:33" s="23" customFormat="1" ht="15.95" customHeight="1" thickBot="1">
      <c r="A16" s="50" t="s">
        <v>48</v>
      </c>
      <c r="B16" s="141" t="s">
        <v>40</v>
      </c>
      <c r="C16" s="142"/>
      <c r="D16" s="27">
        <v>2</v>
      </c>
      <c r="E16" s="28"/>
      <c r="F16" s="29"/>
      <c r="G16" s="29"/>
      <c r="H16" s="30"/>
      <c r="I16" s="31">
        <f t="shared" si="5"/>
        <v>0</v>
      </c>
      <c r="J16" s="52">
        <f>IF(D16=2,1,"")</f>
        <v>1</v>
      </c>
      <c r="K16" s="45">
        <f t="shared" si="6"/>
        <v>0</v>
      </c>
      <c r="L16" s="45" t="str">
        <f t="shared" si="7"/>
        <v/>
      </c>
      <c r="M16" s="46">
        <v>499</v>
      </c>
      <c r="N16" s="47">
        <v>2.8</v>
      </c>
      <c r="O16" s="46" t="str">
        <f t="shared" si="0"/>
        <v/>
      </c>
      <c r="P16" s="46" t="str">
        <f t="shared" si="1"/>
        <v/>
      </c>
      <c r="Q16" s="17" t="str">
        <f t="shared" si="3"/>
        <v/>
      </c>
      <c r="R16" s="18" t="str">
        <f t="shared" si="4"/>
        <v/>
      </c>
      <c r="S16" s="49"/>
      <c r="T16" s="7"/>
      <c r="U16" s="7"/>
      <c r="V16" s="7"/>
      <c r="W16" s="7"/>
      <c r="X16" s="7"/>
      <c r="Y16" s="7"/>
      <c r="Z16" s="7"/>
      <c r="AA16" s="7"/>
      <c r="AG16" s="7" t="s">
        <v>24</v>
      </c>
    </row>
    <row r="17" spans="1:33" s="23" customFormat="1" ht="15.95" customHeight="1" thickBot="1">
      <c r="A17" s="50" t="s">
        <v>46</v>
      </c>
      <c r="B17" s="141" t="s">
        <v>40</v>
      </c>
      <c r="C17" s="142"/>
      <c r="D17" s="27">
        <v>2</v>
      </c>
      <c r="E17" s="28"/>
      <c r="F17" s="29"/>
      <c r="G17" s="29"/>
      <c r="H17" s="30"/>
      <c r="I17" s="31">
        <f t="shared" si="5"/>
        <v>0</v>
      </c>
      <c r="J17" s="52">
        <f>IF(D17=2,1,"")</f>
        <v>1</v>
      </c>
      <c r="K17" s="45">
        <f t="shared" si="6"/>
        <v>0</v>
      </c>
      <c r="L17" s="45" t="str">
        <f t="shared" si="7"/>
        <v/>
      </c>
      <c r="M17" s="46">
        <v>517</v>
      </c>
      <c r="N17" s="47">
        <v>2.7</v>
      </c>
      <c r="O17" s="46" t="str">
        <f t="shared" si="0"/>
        <v/>
      </c>
      <c r="P17" s="46" t="str">
        <f t="shared" si="1"/>
        <v/>
      </c>
      <c r="Q17" s="48" t="str">
        <f t="shared" si="3"/>
        <v/>
      </c>
      <c r="R17" s="18" t="str">
        <f t="shared" si="4"/>
        <v/>
      </c>
      <c r="S17" s="49"/>
      <c r="U17" s="7"/>
      <c r="V17" s="7"/>
      <c r="W17" s="7"/>
      <c r="X17" s="7"/>
      <c r="Y17" s="7"/>
      <c r="Z17" s="7"/>
      <c r="AA17" s="7"/>
      <c r="AG17" s="7" t="s">
        <v>33</v>
      </c>
    </row>
    <row r="18" spans="1:33" s="23" customFormat="1" ht="15.95" hidden="1" customHeight="1" thickBot="1">
      <c r="A18" s="50"/>
      <c r="B18" s="146"/>
      <c r="C18" s="155"/>
      <c r="D18" s="27"/>
      <c r="E18" s="28"/>
      <c r="F18" s="29"/>
      <c r="G18" s="29"/>
      <c r="H18" s="30"/>
      <c r="I18" s="31"/>
      <c r="J18" s="52"/>
      <c r="K18" s="45"/>
      <c r="L18" s="45"/>
      <c r="M18" s="46"/>
      <c r="N18" s="47"/>
      <c r="O18" s="46"/>
      <c r="P18" s="46"/>
      <c r="Q18" s="17"/>
      <c r="R18" s="18"/>
      <c r="S18" s="49"/>
      <c r="U18" s="7"/>
      <c r="V18" s="7"/>
      <c r="W18" s="7"/>
      <c r="X18" s="7"/>
      <c r="Y18" s="7"/>
      <c r="Z18" s="7"/>
      <c r="AA18" s="7"/>
      <c r="AG18" s="7" t="s">
        <v>49</v>
      </c>
    </row>
    <row r="19" spans="1:33" s="23" customFormat="1" ht="15.95" customHeight="1" thickBot="1">
      <c r="A19" s="38" t="s">
        <v>15</v>
      </c>
      <c r="B19" s="148"/>
      <c r="C19" s="149"/>
      <c r="D19" s="40"/>
      <c r="E19" s="41"/>
      <c r="F19" s="42"/>
      <c r="G19" s="42"/>
      <c r="H19" s="43"/>
      <c r="I19" s="44"/>
      <c r="J19" s="42"/>
      <c r="K19" s="45"/>
      <c r="L19" s="45"/>
      <c r="M19" s="46">
        <v>553</v>
      </c>
      <c r="N19" s="47">
        <v>2.5</v>
      </c>
      <c r="O19" s="46" t="str">
        <f t="shared" si="0"/>
        <v/>
      </c>
      <c r="P19" s="46" t="str">
        <f t="shared" si="1"/>
        <v/>
      </c>
      <c r="Q19" s="17" t="str">
        <f>IF(OR(B13="Auswahlliste!",B14="Auswahlliste!",B15="Auswahlliste!",B16="Auswahlliste!",B17="Auswahlliste!"),"Wahlpfl.fächer wählen!","")</f>
        <v>Wahlpfl.fächer wählen!</v>
      </c>
      <c r="R19" s="18"/>
      <c r="S19" s="49"/>
      <c r="U19" s="7"/>
      <c r="V19" s="7"/>
      <c r="W19" s="7"/>
      <c r="X19" s="7"/>
      <c r="Y19" s="7"/>
      <c r="Z19" s="7"/>
      <c r="AA19" s="7"/>
      <c r="AG19" s="7" t="s">
        <v>34</v>
      </c>
    </row>
    <row r="20" spans="1:33" s="23" customFormat="1" ht="15.95" customHeight="1" thickBot="1">
      <c r="A20" s="50" t="s">
        <v>54</v>
      </c>
      <c r="B20" s="141" t="s">
        <v>42</v>
      </c>
      <c r="C20" s="142"/>
      <c r="D20" s="27" t="str">
        <f>IF(OR(B20=V3,B20=V4,B20=V5),4,"")</f>
        <v/>
      </c>
      <c r="E20" s="28"/>
      <c r="F20" s="29"/>
      <c r="G20" s="29"/>
      <c r="H20" s="30"/>
      <c r="I20" s="31" t="str">
        <f>IF(D20="","",SUM(E20:H20))</f>
        <v/>
      </c>
      <c r="J20" s="136" t="str">
        <f>IF(D20=4,1,"")</f>
        <v/>
      </c>
      <c r="K20" s="45" t="str">
        <f t="shared" ref="K20:K28" si="8">IF(OR(J20=1,J20=2),I20*J20,"")</f>
        <v/>
      </c>
      <c r="L20" s="45" t="str">
        <f t="shared" ref="L20:L28" si="9">IF(COUNT(E20:H20)=0,"",COUNT(E20:H20)*J20)</f>
        <v/>
      </c>
      <c r="M20" s="46">
        <v>571</v>
      </c>
      <c r="N20" s="47">
        <v>2.4</v>
      </c>
      <c r="O20" s="46" t="str">
        <f t="shared" si="0"/>
        <v/>
      </c>
      <c r="P20" s="46" t="str">
        <f t="shared" si="1"/>
        <v/>
      </c>
      <c r="Q20" s="17" t="str">
        <f t="shared" si="3"/>
        <v/>
      </c>
      <c r="R20" s="18" t="str">
        <f t="shared" ref="R20:R27" si="10">IF(AND(COUNTBLANK(E20:H20)&lt;4,D20=""),"Fach auswählen!",IF(OR(B20=B$36,B20=B$37,B20=B$38),IF(COUNTIF(E20:H20,0)&gt;0,"0 Punkte  =&gt; nicht best.!",""),""))</f>
        <v/>
      </c>
      <c r="S20" s="49"/>
      <c r="U20" s="7"/>
      <c r="V20" s="7"/>
      <c r="W20" s="7"/>
      <c r="X20" s="7"/>
      <c r="Y20" s="7"/>
      <c r="Z20" s="7"/>
      <c r="AA20" s="7"/>
      <c r="AG20" s="21" t="s">
        <v>39</v>
      </c>
    </row>
    <row r="21" spans="1:33" s="23" customFormat="1" ht="15.95" customHeight="1" thickBot="1">
      <c r="A21" s="65" t="s">
        <v>55</v>
      </c>
      <c r="B21" s="160" t="s">
        <v>42</v>
      </c>
      <c r="C21" s="161"/>
      <c r="D21" s="66" t="str">
        <f>IF(OR(B21=W3,B21=W4,B21=W5,B21=W6),4,"")</f>
        <v/>
      </c>
      <c r="E21" s="166"/>
      <c r="F21" s="169"/>
      <c r="G21" s="169"/>
      <c r="H21" s="170"/>
      <c r="I21" s="69" t="str">
        <f>IF(D21="","",SUM(E21:H21))</f>
        <v/>
      </c>
      <c r="J21" s="70" t="str">
        <f>IF(D21=4,1,"")</f>
        <v/>
      </c>
      <c r="K21" s="45" t="str">
        <f t="shared" si="8"/>
        <v/>
      </c>
      <c r="L21" s="45" t="str">
        <f t="shared" si="9"/>
        <v/>
      </c>
      <c r="M21" s="46">
        <v>589</v>
      </c>
      <c r="N21" s="47">
        <v>2.2999999999999998</v>
      </c>
      <c r="O21" s="46" t="str">
        <f t="shared" si="0"/>
        <v/>
      </c>
      <c r="P21" s="46" t="str">
        <f t="shared" si="1"/>
        <v/>
      </c>
      <c r="Q21" s="17" t="str">
        <f t="shared" si="3"/>
        <v/>
      </c>
      <c r="R21" s="18" t="str">
        <f>IF(AND(COUNTBLANK(E21:H21)&lt;4,D21=""),"Fach auswählen!",IF(OR(B21=B$36,B21=B$37,B21=B$38),IF(COUNTIF(E21:H21,0)&gt;0,"0 Punkte  =&gt; nicht best.!",""),""))</f>
        <v/>
      </c>
      <c r="S21" s="49"/>
      <c r="U21" s="7"/>
      <c r="V21" s="7"/>
      <c r="W21" s="7"/>
      <c r="X21" s="7"/>
      <c r="Y21" s="7"/>
      <c r="Z21" s="7"/>
      <c r="AA21" s="7"/>
      <c r="AG21" s="7" t="s">
        <v>14</v>
      </c>
    </row>
    <row r="22" spans="1:33" s="23" customFormat="1" ht="15.95" customHeight="1" thickBot="1">
      <c r="A22" s="65" t="s">
        <v>16</v>
      </c>
      <c r="B22" s="162"/>
      <c r="C22" s="163"/>
      <c r="D22" s="71" t="str">
        <f>IF(B21=W7,2,"")</f>
        <v/>
      </c>
      <c r="E22" s="167"/>
      <c r="F22" s="169"/>
      <c r="G22" s="169"/>
      <c r="H22" s="170"/>
      <c r="I22" s="72" t="str">
        <f>IF(D22="","",SUM(E22:H22))</f>
        <v/>
      </c>
      <c r="J22" s="73" t="str">
        <f t="shared" ref="J22:J29" si="11">IF(D22=2,1,"")</f>
        <v/>
      </c>
      <c r="K22" s="45" t="str">
        <f t="shared" si="8"/>
        <v/>
      </c>
      <c r="L22" s="45" t="str">
        <f t="shared" si="9"/>
        <v/>
      </c>
      <c r="M22" s="46">
        <v>607</v>
      </c>
      <c r="N22" s="47">
        <v>2.2000000000000002</v>
      </c>
      <c r="O22" s="46" t="str">
        <f t="shared" si="0"/>
        <v/>
      </c>
      <c r="P22" s="46" t="str">
        <f t="shared" si="1"/>
        <v/>
      </c>
      <c r="Q22" s="17" t="str">
        <f>IF(OR(B21=B$36,B21=B$37,B21=B$38),IF(COUNTBLANK(E21:H21)&gt;0,"Alle 4 Noten eintragen!",""),"")</f>
        <v/>
      </c>
      <c r="R22" s="18" t="str">
        <f>IF(AND(COUNTBLANK(E21:H21)&lt;4,D22=""),"Fach auswählen!",IF(OR(B22=B$36,B22=B$37,B22=B$38),IF(COUNTIF(E22:H22,0)&gt;0,"0 Punkte  =&gt; nicht best.!",""),""))</f>
        <v/>
      </c>
      <c r="S22" s="49"/>
      <c r="U22" s="7"/>
      <c r="V22" s="7"/>
      <c r="W22" s="7"/>
      <c r="X22" s="7"/>
      <c r="Y22" s="7"/>
      <c r="Z22" s="7"/>
      <c r="AA22" s="7"/>
      <c r="AG22" s="7"/>
    </row>
    <row r="23" spans="1:33" s="23" customFormat="1" ht="15.95" customHeight="1" thickBot="1">
      <c r="A23" s="50" t="s">
        <v>43</v>
      </c>
      <c r="B23" s="164"/>
      <c r="C23" s="165"/>
      <c r="D23" s="74" t="str">
        <f>IF(OR(B21=W8,B21=W9,B21=W10),2,"")</f>
        <v/>
      </c>
      <c r="E23" s="168"/>
      <c r="F23" s="169"/>
      <c r="G23" s="169"/>
      <c r="H23" s="170"/>
      <c r="I23" s="76" t="str">
        <f>IF(D23="","",SUM(E23:H23))</f>
        <v/>
      </c>
      <c r="J23" s="77" t="str">
        <f t="shared" si="11"/>
        <v/>
      </c>
      <c r="K23" s="45" t="str">
        <f t="shared" si="8"/>
        <v/>
      </c>
      <c r="L23" s="45" t="str">
        <f t="shared" si="9"/>
        <v/>
      </c>
      <c r="M23" s="46">
        <v>625</v>
      </c>
      <c r="N23" s="47">
        <v>2.1</v>
      </c>
      <c r="O23" s="46" t="str">
        <f t="shared" si="0"/>
        <v/>
      </c>
      <c r="P23" s="46" t="str">
        <f t="shared" si="1"/>
        <v/>
      </c>
      <c r="Q23" s="17" t="str">
        <f>IF(OR(B21=B$36,B21=B$37,B21=B$38),IF(COUNTBLANK(E21:H21)&gt;0,"Alle 4 Noten eintragen!",""),"")</f>
        <v/>
      </c>
      <c r="R23" s="18" t="str">
        <f>IF(AND(COUNTBLANK(E21:H21)&lt;4,D23=""),"Fach auswählen!",IF(OR(B23=B$36,B23=B$37,B23=B$38),IF(COUNTIF(E23:H23,0)&gt;0,"0 Punkte  =&gt; nicht best.!",""),""))</f>
        <v/>
      </c>
      <c r="S23" s="49"/>
      <c r="T23" s="7"/>
      <c r="U23" s="7"/>
      <c r="V23" s="7"/>
      <c r="W23" s="7"/>
      <c r="X23" s="7"/>
      <c r="Y23" s="7"/>
      <c r="Z23" s="7"/>
      <c r="AA23" s="7"/>
      <c r="AG23" s="7"/>
    </row>
    <row r="24" spans="1:33" s="23" customFormat="1" ht="15.95" customHeight="1" thickBot="1">
      <c r="A24" s="50" t="s">
        <v>46</v>
      </c>
      <c r="B24" s="141" t="s">
        <v>42</v>
      </c>
      <c r="C24" s="142"/>
      <c r="D24" s="27" t="str">
        <f>IF(OR(B24=Y3,B24=Y4,B24=Y5),2,"")</f>
        <v/>
      </c>
      <c r="E24" s="28"/>
      <c r="F24" s="29"/>
      <c r="G24" s="29"/>
      <c r="H24" s="30"/>
      <c r="I24" s="31" t="str">
        <f>IF(D24="","",SUM(E24:H24))</f>
        <v/>
      </c>
      <c r="J24" s="78" t="str">
        <f t="shared" si="11"/>
        <v/>
      </c>
      <c r="K24" s="45" t="str">
        <f t="shared" si="8"/>
        <v/>
      </c>
      <c r="L24" s="45" t="str">
        <f t="shared" si="9"/>
        <v/>
      </c>
      <c r="M24" s="46">
        <v>643</v>
      </c>
      <c r="N24" s="64">
        <v>2</v>
      </c>
      <c r="O24" s="46" t="str">
        <f t="shared" si="0"/>
        <v/>
      </c>
      <c r="P24" s="46" t="str">
        <f t="shared" si="1"/>
        <v/>
      </c>
      <c r="Q24" s="17" t="str">
        <f t="shared" si="3"/>
        <v/>
      </c>
      <c r="R24" s="18" t="str">
        <f t="shared" si="10"/>
        <v/>
      </c>
      <c r="S24" s="49"/>
      <c r="U24" s="7"/>
      <c r="V24" s="7"/>
      <c r="W24" s="7"/>
      <c r="X24" s="7"/>
      <c r="Y24" s="7"/>
      <c r="Z24" s="7"/>
      <c r="AA24" s="7"/>
    </row>
    <row r="25" spans="1:33" s="23" customFormat="1" ht="15.95" customHeight="1" thickBot="1">
      <c r="A25" s="50" t="s">
        <v>51</v>
      </c>
      <c r="B25" s="141" t="s">
        <v>42</v>
      </c>
      <c r="C25" s="142"/>
      <c r="D25" s="27" t="str">
        <f>IF(OR(B25=Z3,B25=Z4,B25=Z5),2,"")</f>
        <v/>
      </c>
      <c r="E25" s="28"/>
      <c r="F25" s="29"/>
      <c r="G25" s="29"/>
      <c r="H25" s="30"/>
      <c r="I25" s="31" t="str">
        <f t="shared" ref="I25:I28" si="12">IF(D25="","",SUM(E25:H25))</f>
        <v/>
      </c>
      <c r="J25" s="78" t="str">
        <f t="shared" si="11"/>
        <v/>
      </c>
      <c r="K25" s="45" t="str">
        <f t="shared" si="8"/>
        <v/>
      </c>
      <c r="L25" s="45" t="str">
        <f t="shared" si="9"/>
        <v/>
      </c>
      <c r="M25" s="46">
        <v>661</v>
      </c>
      <c r="N25" s="47">
        <v>1.9</v>
      </c>
      <c r="O25" s="46" t="str">
        <f t="shared" si="0"/>
        <v/>
      </c>
      <c r="P25" s="46" t="str">
        <f t="shared" si="1"/>
        <v/>
      </c>
      <c r="Q25" s="17" t="str">
        <f>IF(COUNTBLANK(E25:H25)=0,"Nur 3 Kurse einzubringen!","")</f>
        <v/>
      </c>
      <c r="R25" s="18" t="str">
        <f t="shared" si="10"/>
        <v/>
      </c>
      <c r="S25" s="49"/>
      <c r="U25" s="7"/>
      <c r="V25" s="7"/>
      <c r="W25" s="7"/>
      <c r="X25" s="7"/>
      <c r="Y25" s="7"/>
      <c r="Z25" s="7"/>
      <c r="AA25" s="7"/>
    </row>
    <row r="26" spans="1:33" s="23" customFormat="1" ht="15.95" hidden="1" customHeight="1" thickBot="1">
      <c r="A26" s="50"/>
      <c r="B26" s="141" t="s">
        <v>42</v>
      </c>
      <c r="C26" s="142"/>
      <c r="D26" s="27" t="str">
        <f>IF(B26=AB4,2,"")</f>
        <v/>
      </c>
      <c r="E26" s="28"/>
      <c r="F26" s="29"/>
      <c r="G26" s="29"/>
      <c r="H26" s="30"/>
      <c r="I26" s="31"/>
      <c r="J26" s="78" t="str">
        <f t="shared" si="11"/>
        <v/>
      </c>
      <c r="K26" s="45"/>
      <c r="L26" s="45"/>
      <c r="M26" s="46"/>
      <c r="N26" s="47"/>
      <c r="O26" s="46"/>
      <c r="P26" s="46"/>
      <c r="Q26" s="17"/>
      <c r="R26" s="18"/>
      <c r="S26" s="49"/>
      <c r="U26" s="7"/>
      <c r="V26" s="7"/>
      <c r="W26" s="7"/>
      <c r="X26" s="7"/>
      <c r="Y26" s="7"/>
      <c r="Z26" s="7"/>
      <c r="AA26" s="7"/>
      <c r="AG26" s="7"/>
    </row>
    <row r="27" spans="1:33" s="23" customFormat="1" ht="15.95" customHeight="1" thickBot="1">
      <c r="A27" s="50" t="s">
        <v>57</v>
      </c>
      <c r="B27" s="141" t="s">
        <v>42</v>
      </c>
      <c r="C27" s="142"/>
      <c r="D27" s="27" t="str">
        <f>IF(OR(B27=AA3,B27=AA4),2,"")</f>
        <v/>
      </c>
      <c r="E27" s="28"/>
      <c r="F27" s="29"/>
      <c r="G27" s="29"/>
      <c r="H27" s="30"/>
      <c r="I27" s="31" t="str">
        <f t="shared" si="12"/>
        <v/>
      </c>
      <c r="J27" s="78" t="str">
        <f t="shared" si="11"/>
        <v/>
      </c>
      <c r="K27" s="45" t="str">
        <f t="shared" si="8"/>
        <v/>
      </c>
      <c r="L27" s="45" t="str">
        <f t="shared" si="9"/>
        <v/>
      </c>
      <c r="M27" s="46">
        <v>697</v>
      </c>
      <c r="N27" s="47">
        <v>1.7</v>
      </c>
      <c r="O27" s="46" t="str">
        <f t="shared" si="0"/>
        <v/>
      </c>
      <c r="P27" s="46" t="str">
        <f t="shared" si="1"/>
        <v/>
      </c>
      <c r="Q27" s="17" t="str">
        <f t="shared" si="3"/>
        <v/>
      </c>
      <c r="R27" s="18" t="str">
        <f t="shared" si="10"/>
        <v/>
      </c>
      <c r="S27" s="49"/>
      <c r="T27" s="7"/>
      <c r="U27" s="7"/>
      <c r="V27" s="7"/>
      <c r="W27" s="7"/>
      <c r="X27" s="7"/>
      <c r="Y27" s="7"/>
      <c r="Z27" s="7"/>
      <c r="AA27" s="7"/>
      <c r="AG27" s="7"/>
    </row>
    <row r="28" spans="1:33" s="23" customFormat="1" ht="15.95" customHeight="1" thickBot="1">
      <c r="A28" s="50" t="s">
        <v>18</v>
      </c>
      <c r="B28" s="141" t="s">
        <v>42</v>
      </c>
      <c r="C28" s="142"/>
      <c r="D28" s="27" t="str">
        <f>IF(OR(B28=AC3),2,"")</f>
        <v/>
      </c>
      <c r="E28" s="28"/>
      <c r="F28" s="29"/>
      <c r="G28" s="29"/>
      <c r="H28" s="30"/>
      <c r="I28" s="31" t="str">
        <f t="shared" si="12"/>
        <v/>
      </c>
      <c r="J28" s="78" t="str">
        <f t="shared" si="11"/>
        <v/>
      </c>
      <c r="K28" s="45" t="str">
        <f t="shared" si="8"/>
        <v/>
      </c>
      <c r="L28" s="45" t="str">
        <f t="shared" si="9"/>
        <v/>
      </c>
      <c r="M28" s="46">
        <v>715</v>
      </c>
      <c r="N28" s="47">
        <v>1.6</v>
      </c>
      <c r="O28" s="46" t="str">
        <f t="shared" si="0"/>
        <v/>
      </c>
      <c r="P28" s="46" t="str">
        <f t="shared" si="1"/>
        <v/>
      </c>
      <c r="Q28" s="17" t="str">
        <f t="shared" si="3"/>
        <v/>
      </c>
      <c r="R28" s="18" t="str">
        <f>IF(AND(COUNTBLANK(E28:H28)&lt;4,D28=""),"Fach auswählen!",IF(OR(B28=B$36,B28=B$37,B28=B$38),IF(COUNTIF(E28:H28,0)&gt;0,"0 Punkte  =&gt; nicht best.!",""),""))</f>
        <v/>
      </c>
      <c r="S28" s="49"/>
      <c r="U28" s="7"/>
      <c r="V28" s="7"/>
      <c r="W28" s="7"/>
      <c r="X28" s="7"/>
      <c r="Y28" s="7"/>
      <c r="Z28" s="7"/>
      <c r="AA28" s="7"/>
      <c r="AG28" s="7"/>
    </row>
    <row r="29" spans="1:33" s="23" customFormat="1" ht="15.95" hidden="1" customHeight="1" thickBot="1">
      <c r="A29" s="79"/>
      <c r="B29" s="171" t="s">
        <v>42</v>
      </c>
      <c r="C29" s="172"/>
      <c r="D29" s="27" t="str">
        <f>IF(B29=AD3,2,"")</f>
        <v/>
      </c>
      <c r="E29" s="28"/>
      <c r="F29" s="29"/>
      <c r="G29" s="29"/>
      <c r="H29" s="30"/>
      <c r="I29" s="31"/>
      <c r="J29" s="78" t="str">
        <f t="shared" si="11"/>
        <v/>
      </c>
      <c r="K29" s="45"/>
      <c r="L29" s="45"/>
      <c r="M29" s="46"/>
      <c r="N29" s="47"/>
      <c r="O29" s="46"/>
      <c r="P29" s="46"/>
      <c r="Q29" s="17"/>
      <c r="R29" s="18"/>
      <c r="S29" s="49"/>
      <c r="U29" s="7"/>
      <c r="V29" s="7"/>
      <c r="W29" s="7"/>
      <c r="X29" s="7"/>
      <c r="Y29" s="7"/>
      <c r="Z29" s="7"/>
      <c r="AA29" s="7"/>
      <c r="AG29" s="80"/>
    </row>
    <row r="30" spans="1:33" s="23" customFormat="1" ht="15.95" customHeight="1" thickBot="1">
      <c r="A30" s="173" t="s">
        <v>19</v>
      </c>
      <c r="B30" s="174"/>
      <c r="C30" s="175"/>
      <c r="D30" s="81">
        <f>SUM(D4:D29)</f>
        <v>30</v>
      </c>
      <c r="E30" s="183" t="s">
        <v>63</v>
      </c>
      <c r="F30" s="184"/>
      <c r="G30" s="184"/>
      <c r="H30" s="82">
        <f>COUNT(E4:H29)-COUNTIF(E4:H29,0)</f>
        <v>0</v>
      </c>
      <c r="I30" s="176" t="str">
        <f>IF(COUNTIF(J4:J29,2)&lt;3,"Faktor 3x auf 2 setzen!",IF(COUNTIF(J4:J29,2)&gt;3,"Faktor nur 3x auf 2 setzen!",""))</f>
        <v>Faktor 3x auf 2 setzen!</v>
      </c>
      <c r="J30" s="177"/>
      <c r="K30" s="177"/>
      <c r="L30" s="83"/>
      <c r="M30" s="46">
        <v>751</v>
      </c>
      <c r="N30" s="47">
        <v>1.4</v>
      </c>
      <c r="O30" s="46" t="str">
        <f t="shared" si="0"/>
        <v/>
      </c>
      <c r="P30" s="46" t="str">
        <f t="shared" si="1"/>
        <v/>
      </c>
      <c r="Q30" s="84"/>
      <c r="R30" s="18" t="str">
        <f>IF(AND(COUNTBLANK(E9:H9)&gt;0,COUNTBLANK(E20:H20)&gt;0),"4 N. in NW-Fach eintr.!",IF(OR(COUNTIF(E9:H9,0)&gt;0,COUNTIF(E20:H20,0)&gt;0),"0 Punkte  =&gt; nicht best.!",""))</f>
        <v>4 N. in NW-Fach eintr.!</v>
      </c>
      <c r="S30" s="86"/>
      <c r="U30" s="7"/>
      <c r="V30" s="7"/>
      <c r="W30" s="7"/>
      <c r="X30" s="7"/>
      <c r="Y30" s="7"/>
      <c r="Z30" s="7"/>
      <c r="AA30" s="7"/>
    </row>
    <row r="31" spans="1:33" ht="15.95" customHeight="1">
      <c r="A31" s="87"/>
      <c r="B31" s="48" t="str">
        <f>IF(OR(B20=B15,B21=B5,B24=B17,B26=B13,B26=B14,B29=B13,B29=B14),"Doppelbelegung!","")</f>
        <v/>
      </c>
      <c r="C31" s="137" t="str">
        <f>IF(D30&lt;34,"zu wenig Stunden/Semester","")</f>
        <v>zu wenig Stunden/Semester</v>
      </c>
      <c r="D31" s="137"/>
      <c r="E31" s="137"/>
      <c r="F31" s="88"/>
      <c r="G31" s="179" t="str">
        <f>IF(H30&lt;32,"zu wenig Kurse!","")</f>
        <v>zu wenig Kurse!</v>
      </c>
      <c r="H31" s="179"/>
      <c r="I31" s="178"/>
      <c r="J31" s="178"/>
      <c r="K31" s="178"/>
      <c r="L31" s="89"/>
      <c r="M31" s="33">
        <v>769</v>
      </c>
      <c r="N31" s="37">
        <v>1.3</v>
      </c>
      <c r="O31" s="33" t="str">
        <f t="shared" si="0"/>
        <v/>
      </c>
      <c r="P31" s="33" t="str">
        <f t="shared" si="1"/>
        <v/>
      </c>
      <c r="Q31" s="82"/>
      <c r="R31" s="18" t="str">
        <f>IF(AND(COUNTBLANK(E17:H17)&gt;0,COUNTBLANK(E24:H24)&gt;0),"4 N. in künstl. Fach eintr.!",IF(OR(COUNTIF(E17:H17,0)&gt;0,COUNTIF(E24:H24,0)&gt;0),"0 Punkte  =&gt; nicht best.!",""))</f>
        <v>4 N. in künstl. Fach eintr.!</v>
      </c>
    </row>
    <row r="32" spans="1:33" ht="15.95" customHeight="1" thickBot="1">
      <c r="A32" s="87"/>
      <c r="B32" s="88"/>
      <c r="C32" s="17"/>
      <c r="D32" s="17"/>
      <c r="E32" s="17"/>
      <c r="F32" s="179" t="str">
        <f>IF(COUNTIF(E4:H29,"&gt;15")&gt;0,"Notenwert(e) zu hoch!",IF(COUNTIF(E4:H29,"&lt;5")&gt;(H30/5),"zu viele Unterkurse!",""))</f>
        <v/>
      </c>
      <c r="G32" s="180"/>
      <c r="H32" s="180"/>
      <c r="I32" s="91"/>
      <c r="J32" s="91"/>
      <c r="K32" s="91"/>
      <c r="L32" s="89"/>
      <c r="M32" s="33">
        <v>787</v>
      </c>
      <c r="N32" s="37">
        <v>1.2</v>
      </c>
      <c r="O32" s="33" t="str">
        <f t="shared" si="0"/>
        <v/>
      </c>
      <c r="P32" s="33" t="str">
        <f t="shared" si="1"/>
        <v/>
      </c>
      <c r="Q32" s="137" t="str">
        <f>IF(AND(COUNTBLANK(E10:H10)&gt;0,COUNTBLANK(E14:H14)&gt;0,COUNTBLANK(E26:H26)&gt;0,COUNTBLANK(E29:H29)&gt;0),"4 Noten in PGW, Geschichte oder Geo eintragen!",IF(OR(COUNTIF(E10:H10,0)&gt;0,COUNTIF(E14:H14,0)&gt;0,COUNTIF(E26:H26,0)&gt;0,COUNTIF(E29:H29,0)&gt;0),"0 Punkte  =&gt; nicht best.!",""))</f>
        <v>4 Noten in PGW, Geschichte oder Geo eintragen!</v>
      </c>
      <c r="R32" s="138"/>
    </row>
    <row r="33" spans="1:18" ht="15.95" customHeight="1" thickBot="1">
      <c r="A33" s="1" t="s">
        <v>67</v>
      </c>
      <c r="B33" s="92"/>
      <c r="C33" s="92"/>
      <c r="D33" s="92"/>
      <c r="E33" s="88"/>
      <c r="F33" s="88"/>
      <c r="G33" s="88"/>
      <c r="H33" s="88"/>
      <c r="I33" s="89"/>
      <c r="J33" s="89"/>
      <c r="K33" s="89"/>
      <c r="L33" s="89"/>
      <c r="M33" s="33">
        <v>805</v>
      </c>
      <c r="N33" s="37">
        <v>1.1000000000000001</v>
      </c>
      <c r="O33" s="33" t="str">
        <f>IF(P34&lt;&gt;"","",IF($F$38&gt;=M33,N33,""))</f>
        <v/>
      </c>
      <c r="P33" s="33" t="str">
        <f>O33&amp;""&amp;P34</f>
        <v/>
      </c>
      <c r="Q33" s="82"/>
      <c r="R33" s="90"/>
    </row>
    <row r="34" spans="1:18" ht="15.95" customHeight="1" thickBot="1">
      <c r="A34" s="93"/>
      <c r="B34" s="92"/>
      <c r="C34" s="94" t="s">
        <v>4</v>
      </c>
      <c r="D34" s="94" t="s">
        <v>73</v>
      </c>
      <c r="E34" s="88"/>
      <c r="F34" s="181" t="s">
        <v>74</v>
      </c>
      <c r="G34" s="182"/>
      <c r="H34" s="88"/>
      <c r="I34" s="181" t="s">
        <v>76</v>
      </c>
      <c r="J34" s="182"/>
      <c r="K34" s="89"/>
      <c r="L34" s="89"/>
      <c r="M34" s="33">
        <v>823</v>
      </c>
      <c r="N34" s="34">
        <v>1</v>
      </c>
      <c r="O34" s="33" t="str">
        <f>IF($F$38&gt;=M34,N34,"")</f>
        <v/>
      </c>
      <c r="P34" s="33" t="str">
        <f>O34</f>
        <v/>
      </c>
      <c r="Q34" s="82"/>
      <c r="R34" s="90"/>
    </row>
    <row r="35" spans="1:18" ht="15.95" customHeight="1" thickBot="1">
      <c r="A35" s="93" t="s">
        <v>68</v>
      </c>
      <c r="B35" s="95" t="s">
        <v>72</v>
      </c>
      <c r="C35" s="96" t="s">
        <v>64</v>
      </c>
      <c r="D35" s="97"/>
      <c r="E35" s="88"/>
      <c r="F35" s="185">
        <f>5*SUM(D35:D38)</f>
        <v>0</v>
      </c>
      <c r="G35" s="186"/>
      <c r="H35" s="88"/>
      <c r="I35" s="185" t="str">
        <f>IF(SUM(K4:K29)=0,"0",ROUND(SUM(K4:K29)/SUM(L4:L29)*40,0))</f>
        <v>0</v>
      </c>
      <c r="J35" s="186"/>
      <c r="K35" s="89"/>
      <c r="L35" s="89"/>
      <c r="M35" s="33"/>
      <c r="N35" s="98"/>
      <c r="O35" s="33"/>
      <c r="P35" s="33" t="str">
        <f>P34&amp;""&amp;O35</f>
        <v/>
      </c>
      <c r="Q35" s="82"/>
      <c r="R35" s="18"/>
    </row>
    <row r="36" spans="1:18" ht="15.95" customHeight="1" thickBot="1">
      <c r="A36" s="93" t="s">
        <v>69</v>
      </c>
      <c r="B36" s="99"/>
      <c r="C36" s="96" t="s">
        <v>64</v>
      </c>
      <c r="D36" s="97"/>
      <c r="E36" s="88"/>
      <c r="F36" s="191" t="str">
        <f>IF(F35&lt;100,"nicht best. (&lt;100P.)","")</f>
        <v>nicht best. (&lt;100P.)</v>
      </c>
      <c r="G36" s="191"/>
      <c r="H36" s="88"/>
      <c r="I36" s="191" t="str">
        <f>IF(I35&lt;200,"nicht best. (&lt;200P.)","")</f>
        <v/>
      </c>
      <c r="J36" s="191"/>
      <c r="K36" s="89"/>
      <c r="L36" s="89"/>
      <c r="M36" s="33"/>
      <c r="N36" s="98"/>
      <c r="O36" s="33"/>
      <c r="P36" s="33"/>
      <c r="Q36" s="82"/>
      <c r="R36" s="18"/>
    </row>
    <row r="37" spans="1:18" ht="15.95" customHeight="1" thickBot="1">
      <c r="A37" s="93" t="s">
        <v>70</v>
      </c>
      <c r="B37" s="99"/>
      <c r="C37" s="100" t="s">
        <v>66</v>
      </c>
      <c r="D37" s="97"/>
      <c r="E37" s="88"/>
      <c r="F37" s="181" t="s">
        <v>78</v>
      </c>
      <c r="G37" s="182"/>
      <c r="H37" s="88"/>
      <c r="I37" s="192" t="s">
        <v>79</v>
      </c>
      <c r="J37" s="193"/>
      <c r="K37" s="89"/>
      <c r="L37" s="89"/>
      <c r="M37" s="89"/>
      <c r="N37" s="89"/>
      <c r="O37" s="89"/>
      <c r="P37" s="89"/>
      <c r="Q37" s="82"/>
      <c r="R37" s="18"/>
    </row>
    <row r="38" spans="1:18" ht="15.95" customHeight="1" thickBot="1">
      <c r="A38" s="93" t="s">
        <v>71</v>
      </c>
      <c r="B38" s="99"/>
      <c r="C38" s="100" t="s">
        <v>66</v>
      </c>
      <c r="D38" s="97"/>
      <c r="E38" s="88"/>
      <c r="F38" s="185">
        <f>F35+I35</f>
        <v>0</v>
      </c>
      <c r="G38" s="186"/>
      <c r="H38" s="88"/>
      <c r="I38" s="194" t="str">
        <f>IF(AND(A39="",A40="",A41="",A42="",A43="",B39="",B40="",B41="",B42="",B43="",C39="",C40="",F36="",I36="",G31="",I30="",Q3="",Q4="",Q5="",Q6="",Q7="",Q8="",Q9="",Q10="",Q11="",Q12="",Q13="",Q14="",Q15="",Q16="",Q17="",Q18="",Q19="",Q20="",Q21="",Q22="",Q23="",Q24="",Q25="",Q26="",Q27="",Q28="",Q30="",Q32="",R3="",R4="",R5="",R8="",R9="",R10="",R11="",R12="",R13="",R14="",R15="",R16="",R17="",R18="",R19="",R20="",R21="",R22="",R23="",R24="",R25="",R26="",R27="",R28="",R30="",R31=""),P4,"Fehler vorhanden")</f>
        <v>Fehler vorhanden</v>
      </c>
      <c r="J38" s="195"/>
      <c r="K38" s="89"/>
      <c r="L38" s="89"/>
      <c r="M38" s="89"/>
      <c r="N38" s="89"/>
      <c r="O38" s="89"/>
      <c r="P38" s="89"/>
      <c r="Q38" s="82"/>
      <c r="R38" s="18" t="str">
        <f>IF(COUNTIF(C35:C37,"EN")&lt;2,"mind. 2x EN wählen!","")</f>
        <v/>
      </c>
    </row>
    <row r="39" spans="1:18" ht="15.95" customHeight="1">
      <c r="A39" s="93"/>
      <c r="B39" s="101" t="str">
        <f>IF(COUNTIF(B35:B38,"Deutsch")+COUNTIF(B35:B38,"Mathematik")+COUNTIF(B35:B38,"Englisch")+COUNTIF(B35:B38,"Spanisch")+COUNTIF(B35:B38,"Französisch")+COUNTIF(B35:B38,"Latein")&lt;2,"2 Kernfächer wählen!",IF(OR(B35=B36,B35=B37,B35=B38,B36=B37,B36=B38,B37=B38),"versch. Fächer wählen!",""))</f>
        <v>2 Kernfächer wählen!</v>
      </c>
      <c r="C39" s="187" t="str">
        <f>IF(COUNTIF(D35:D38,"&lt;5")&gt;2,"nicht best. (3-4mal &lt; 5 P.)","")</f>
        <v/>
      </c>
      <c r="D39" s="188"/>
      <c r="E39" s="188"/>
      <c r="F39" s="189"/>
      <c r="G39" s="189"/>
      <c r="H39" s="88"/>
      <c r="I39" s="89"/>
      <c r="J39" s="89"/>
      <c r="K39" s="89"/>
      <c r="L39" s="89"/>
      <c r="M39" s="89"/>
      <c r="N39" s="89"/>
      <c r="O39" s="89"/>
      <c r="P39" s="89"/>
      <c r="Q39" s="82"/>
      <c r="R39" s="90"/>
    </row>
    <row r="40" spans="1:18" ht="15.95" customHeight="1">
      <c r="A40" s="104" t="str">
        <f>IF(COUNTIF(B$4:B$29,B35)=1,"","1. Prüfungsfach in Block 1 nicht belegt!")</f>
        <v>1. Prüfungsfach in Block 1 nicht belegt!</v>
      </c>
      <c r="B40" s="105" t="str">
        <f>IF(COUNTIF(B35:B38,"Deutsch")+COUNTIF(B35:B38,"Englisch")+COUNTIF(B35:B38,"Spanisch")+COUNTIF(B35:B38,"Französisch")+COUNTIF(B35:B38,"Latein")+COUNTIF(B35:B38,"Kunst")+COUNTIF(B35:B38,"Musik")+COUNTIF(B35:B38,DSP)=0,"1. Aufgabenfeld fehlt!","")</f>
        <v>1. Aufgabenfeld fehlt!</v>
      </c>
      <c r="C40" s="187" t="str">
        <f>IF(OR(D35&gt;45,D36&gt;4),"",IF(AND(C37="EN",D37&gt;4),"",IF(AND(C38="EN",D38&gt;4),"","nicht bestanden (EN &lt; 5 P.)")))</f>
        <v>nicht bestanden (EN &lt; 5 P.)</v>
      </c>
      <c r="D40" s="190"/>
      <c r="E40" s="190"/>
      <c r="F40" s="88"/>
      <c r="G40" s="88"/>
      <c r="H40" s="88"/>
      <c r="I40" s="89"/>
      <c r="J40" s="89"/>
      <c r="K40" s="89"/>
      <c r="L40" s="89"/>
      <c r="M40" s="89"/>
      <c r="N40" s="89"/>
      <c r="O40" s="89"/>
      <c r="P40" s="89"/>
      <c r="Q40" s="82"/>
      <c r="R40" s="90"/>
    </row>
    <row r="41" spans="1:18" ht="15.95" customHeight="1">
      <c r="A41" s="104" t="str">
        <f>IF(COUNTIF(B$4:B$29,B36)=1,"","2. Prüfungsfach in Block 1 nicht belegt!")</f>
        <v>2. Prüfungsfach in Block 1 nicht belegt!</v>
      </c>
      <c r="B41" s="105" t="str">
        <f>IF(COUNTIF(B35:B38,"PGW")+COUNTIF(B35:B38,"Geschichte")+COUNTIF(B35:B38,"Geographie")+COUNTIF(B35:B38,"Religion")+COUNTIF(B35:B38,"Philosophie")+COUNTIF(B35:B38,"Pädagogik")+COUNTIF(B35:B38,"Psychologie")=0,"2. Aufgabenfeld fehlt!","")</f>
        <v>2. Aufgabenfeld fehlt!</v>
      </c>
      <c r="C41" s="106"/>
      <c r="D41" s="106"/>
      <c r="E41" s="106"/>
      <c r="F41" s="88"/>
      <c r="G41" s="88"/>
      <c r="H41" s="88"/>
      <c r="I41" s="89"/>
      <c r="J41" s="89"/>
      <c r="K41" s="89"/>
      <c r="L41" s="89"/>
      <c r="M41" s="89"/>
      <c r="N41" s="89"/>
      <c r="O41" s="89"/>
      <c r="P41" s="89"/>
      <c r="Q41" s="82"/>
      <c r="R41" s="90"/>
    </row>
    <row r="42" spans="1:18" ht="15.95" customHeight="1">
      <c r="A42" s="104" t="str">
        <f>IF(COUNTIF(B$4:B$29,B37)=1,"","3. Prüfungsfach in Block 1 nicht belegt!")</f>
        <v>3. Prüfungsfach in Block 1 nicht belegt!</v>
      </c>
      <c r="B42" s="105" t="str">
        <f>IF(COUNTIF(B35:B38,"Mathematik")+COUNTIF(B35:B38,"Biologie")+COUNTIF(B35:B38,"Chemie")+COUNTIF(B35:B38,"Physik")+COUNTIF(B35:B38,"Informatik")=0,"3. Aufgabenfeld fehlt!","")</f>
        <v>3. Aufgabenfeld fehlt!</v>
      </c>
      <c r="C42" s="92"/>
      <c r="D42" s="92"/>
      <c r="E42" s="88"/>
      <c r="F42" s="88"/>
      <c r="G42" s="88"/>
      <c r="H42" s="88"/>
      <c r="I42" s="89"/>
      <c r="J42" s="89"/>
      <c r="K42" s="89"/>
      <c r="L42" s="89"/>
      <c r="M42" s="89"/>
      <c r="N42" s="89"/>
      <c r="O42" s="89"/>
      <c r="P42" s="89"/>
      <c r="Q42" s="82"/>
      <c r="R42" s="90"/>
    </row>
    <row r="43" spans="1:18" ht="15.95" customHeight="1" thickBot="1">
      <c r="A43" s="107" t="str">
        <f>IF(COUNTIF(B$4:B$29,B38)=1,"","4. Prüfungsfach in Block 1 nicht belegt!")</f>
        <v>4. Prüfungsfach in Block 1 nicht belegt!</v>
      </c>
      <c r="B43" s="108" t="str">
        <f>IF(AND(COUNTIF(B35:B38,B8)=0,COUNTIF(B35:B38,B9)=0),"profilgeb. Fach fehlt!","")</f>
        <v>profilgeb. Fach fehlt!</v>
      </c>
      <c r="C43" s="109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1"/>
      <c r="R43" s="112"/>
    </row>
  </sheetData>
  <mergeCells count="50">
    <mergeCell ref="C39:E39"/>
    <mergeCell ref="F39:G39"/>
    <mergeCell ref="C40:E40"/>
    <mergeCell ref="F36:G36"/>
    <mergeCell ref="I36:J36"/>
    <mergeCell ref="F37:G37"/>
    <mergeCell ref="I37:J37"/>
    <mergeCell ref="F38:G38"/>
    <mergeCell ref="I38:J38"/>
    <mergeCell ref="F34:G34"/>
    <mergeCell ref="I34:J34"/>
    <mergeCell ref="E30:G30"/>
    <mergeCell ref="F35:G35"/>
    <mergeCell ref="I35:J35"/>
    <mergeCell ref="A30:C30"/>
    <mergeCell ref="I30:K31"/>
    <mergeCell ref="C31:E31"/>
    <mergeCell ref="G31:H31"/>
    <mergeCell ref="F32:H32"/>
    <mergeCell ref="B24:C24"/>
    <mergeCell ref="B26:C26"/>
    <mergeCell ref="B27:C27"/>
    <mergeCell ref="B28:C28"/>
    <mergeCell ref="B29:C29"/>
    <mergeCell ref="B21:C23"/>
    <mergeCell ref="E21:E23"/>
    <mergeCell ref="F21:F23"/>
    <mergeCell ref="G21:G23"/>
    <mergeCell ref="H21:H23"/>
    <mergeCell ref="A4:A6"/>
    <mergeCell ref="B7:C7"/>
    <mergeCell ref="Q7:R7"/>
    <mergeCell ref="B9:C9"/>
    <mergeCell ref="B10:C10"/>
    <mergeCell ref="Q32:R32"/>
    <mergeCell ref="C1:I1"/>
    <mergeCell ref="B15:C15"/>
    <mergeCell ref="Q2:R2"/>
    <mergeCell ref="O3:P3"/>
    <mergeCell ref="B11:C11"/>
    <mergeCell ref="B12:C12"/>
    <mergeCell ref="B13:C13"/>
    <mergeCell ref="B14:C14"/>
    <mergeCell ref="Q12:R12"/>
    <mergeCell ref="B25:C25"/>
    <mergeCell ref="B16:C16"/>
    <mergeCell ref="B17:C17"/>
    <mergeCell ref="B18:C18"/>
    <mergeCell ref="B19:C19"/>
    <mergeCell ref="B20:C20"/>
  </mergeCells>
  <dataValidations count="18">
    <dataValidation type="list" allowBlank="1" showInputMessage="1" showErrorMessage="1" sqref="C37:C38">
      <formula1>$AE$3:$AE$4</formula1>
    </dataValidation>
    <dataValidation type="list" showInputMessage="1" showErrorMessage="1" sqref="B14:C14">
      <formula1>$AB$3:$AB$4</formula1>
    </dataValidation>
    <dataValidation type="list" showInputMessage="1" showErrorMessage="1" sqref="B17:C17">
      <formula1>$Y$3:$Y$5</formula1>
    </dataValidation>
    <dataValidation type="list" allowBlank="1" showInputMessage="1" showErrorMessage="1" sqref="B29:C29">
      <formula1>$AD$3:$AD$5</formula1>
    </dataValidation>
    <dataValidation type="list" showInputMessage="1" showErrorMessage="1" sqref="B5">
      <formula1>T3:T6</formula1>
    </dataValidation>
    <dataValidation type="list" showInputMessage="1" showErrorMessage="1" sqref="B15:C15">
      <formula1>$V$3:$V$5</formula1>
    </dataValidation>
    <dataValidation type="list" showInputMessage="1" showErrorMessage="1" sqref="B16:C16">
      <formula1>$U$3:$U$4</formula1>
    </dataValidation>
    <dataValidation type="list" allowBlank="1" showInputMessage="1" showErrorMessage="1" sqref="B20:C20">
      <formula1>$V$4:$V$6</formula1>
    </dataValidation>
    <dataValidation type="list" allowBlank="1" showInputMessage="1" showErrorMessage="1" sqref="B25:C25">
      <formula1>$Z$3:$Z$6</formula1>
    </dataValidation>
    <dataValidation type="list" allowBlank="1" showInputMessage="1" showErrorMessage="1" sqref="B28:C28">
      <formula1>$AC$3:$AC$4</formula1>
    </dataValidation>
    <dataValidation type="list" allowBlank="1" showInputMessage="1" showErrorMessage="1" sqref="B27:C27">
      <formula1>$AA$3:$AA$5</formula1>
    </dataValidation>
    <dataValidation type="list" allowBlank="1" showInputMessage="1" showErrorMessage="1" sqref="B26:C26">
      <formula1>$AB$4:$AB$5</formula1>
    </dataValidation>
    <dataValidation type="list" allowBlank="1" showInputMessage="1" showErrorMessage="1" sqref="B21:B23">
      <formula1>$W$3:$W$11</formula1>
    </dataValidation>
    <dataValidation type="list" allowBlank="1" showInputMessage="1" showErrorMessage="1" sqref="B24:C24">
      <formula1>$Y$3:$Y$6</formula1>
    </dataValidation>
    <dataValidation type="list" showInputMessage="1" showErrorMessage="1" sqref="B35">
      <formula1>$T$9:$T$14</formula1>
    </dataValidation>
    <dataValidation type="list" showInputMessage="1" showErrorMessage="1" sqref="C4:C6">
      <formula1>$AE$3:$AE$4</formula1>
    </dataValidation>
    <dataValidation type="list" showInputMessage="1" showErrorMessage="1" sqref="J9 J15 J4:J6 J20:J21">
      <formula1>$AF$3:$AF$4</formula1>
    </dataValidation>
    <dataValidation type="list" showInputMessage="1" showErrorMessage="1" sqref="B36:B38">
      <formula1>$AG$3:$AG$21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43"/>
  <sheetViews>
    <sheetView workbookViewId="0"/>
  </sheetViews>
  <sheetFormatPr baseColWidth="10" defaultRowHeight="15.95" customHeight="1"/>
  <cols>
    <col min="1" max="1" width="47.140625" style="8" customWidth="1"/>
    <col min="2" max="2" width="20.5703125" style="8" customWidth="1"/>
    <col min="3" max="10" width="8.7109375" style="8" customWidth="1"/>
    <col min="11" max="16" width="8.7109375" style="8" hidden="1" customWidth="1"/>
    <col min="17" max="17" width="23" style="6" customWidth="1"/>
    <col min="18" max="18" width="23.140625" style="6" customWidth="1"/>
    <col min="19" max="19" width="16" style="6" customWidth="1"/>
    <col min="20" max="21" width="10.42578125" style="7" customWidth="1"/>
    <col min="22" max="22" width="8.5703125" style="7" customWidth="1"/>
    <col min="23" max="23" width="12.140625" style="7" customWidth="1"/>
    <col min="24" max="24" width="11.42578125" style="7" customWidth="1"/>
    <col min="25" max="25" width="7.28515625" style="7" customWidth="1"/>
    <col min="26" max="26" width="9.28515625" style="7" customWidth="1"/>
    <col min="27" max="27" width="19.28515625" style="7" customWidth="1"/>
    <col min="28" max="30" width="11.42578125" style="8" customWidth="1"/>
    <col min="31" max="31" width="3.85546875" style="8" customWidth="1"/>
    <col min="32" max="32" width="3.42578125" style="8" customWidth="1"/>
    <col min="33" max="33" width="11.42578125" style="8" customWidth="1"/>
    <col min="34" max="16384" width="11.42578125" style="8"/>
  </cols>
  <sheetData>
    <row r="1" spans="1:33" ht="15.95" customHeight="1" thickBot="1">
      <c r="A1" s="1" t="s">
        <v>82</v>
      </c>
      <c r="B1" s="2"/>
      <c r="C1" s="139" t="s">
        <v>87</v>
      </c>
      <c r="D1" s="139"/>
      <c r="E1" s="139"/>
      <c r="F1" s="139"/>
      <c r="G1" s="139"/>
      <c r="H1" s="139"/>
      <c r="I1" s="140"/>
      <c r="J1" s="2"/>
      <c r="K1" s="2"/>
      <c r="L1" s="2"/>
      <c r="M1" s="2"/>
      <c r="N1" s="2"/>
      <c r="O1" s="2"/>
      <c r="P1" s="2"/>
      <c r="Q1" s="4"/>
      <c r="R1" s="5"/>
    </row>
    <row r="2" spans="1:33" ht="15.95" customHeight="1" thickBot="1">
      <c r="A2" s="9"/>
      <c r="B2" s="10"/>
      <c r="C2" s="10"/>
      <c r="D2" s="10"/>
      <c r="E2" s="10"/>
      <c r="F2" s="10"/>
      <c r="G2" s="10"/>
      <c r="H2" s="10"/>
      <c r="Q2" s="143" t="str">
        <f>IF(I38="Fehler vorhanden","Fehlermeldungen","")</f>
        <v>Fehlermeldungen</v>
      </c>
      <c r="R2" s="144"/>
      <c r="AD2" s="7" t="s">
        <v>41</v>
      </c>
    </row>
    <row r="3" spans="1:33" s="23" customFormat="1" ht="15.95" customHeight="1" thickBot="1">
      <c r="A3" s="11" t="s">
        <v>3</v>
      </c>
      <c r="B3" s="12"/>
      <c r="C3" s="11" t="s">
        <v>4</v>
      </c>
      <c r="D3" s="13" t="s">
        <v>5</v>
      </c>
      <c r="E3" s="14" t="s">
        <v>59</v>
      </c>
      <c r="F3" s="11" t="s">
        <v>60</v>
      </c>
      <c r="G3" s="11" t="s">
        <v>61</v>
      </c>
      <c r="H3" s="135" t="s">
        <v>61</v>
      </c>
      <c r="I3" s="14" t="s">
        <v>0</v>
      </c>
      <c r="J3" s="11" t="s">
        <v>62</v>
      </c>
      <c r="K3" s="15" t="s">
        <v>75</v>
      </c>
      <c r="L3" s="15" t="s">
        <v>77</v>
      </c>
      <c r="M3" s="16" t="s">
        <v>1</v>
      </c>
      <c r="N3" s="16" t="s">
        <v>2</v>
      </c>
      <c r="O3" s="145" t="s">
        <v>80</v>
      </c>
      <c r="P3" s="145"/>
      <c r="Q3" s="17"/>
      <c r="R3" s="18" t="str">
        <f>IF(COUNTIF(C4:C6,"EN")&lt;2,"mind. 2x EN wählen!","")</f>
        <v>mind. 2x EN wählen!</v>
      </c>
      <c r="S3" s="19" t="s">
        <v>83</v>
      </c>
      <c r="T3" s="20" t="s">
        <v>20</v>
      </c>
      <c r="U3" s="7" t="s">
        <v>23</v>
      </c>
      <c r="V3" s="7" t="s">
        <v>25</v>
      </c>
      <c r="W3" s="20" t="s">
        <v>20</v>
      </c>
      <c r="X3" s="7" t="s">
        <v>30</v>
      </c>
      <c r="Y3" s="7" t="s">
        <v>33</v>
      </c>
      <c r="Z3" s="7" t="s">
        <v>35</v>
      </c>
      <c r="AA3" s="7" t="s">
        <v>32</v>
      </c>
      <c r="AB3" s="21" t="s">
        <v>9</v>
      </c>
      <c r="AC3" s="7" t="s">
        <v>39</v>
      </c>
      <c r="AD3" s="22" t="s">
        <v>9</v>
      </c>
      <c r="AE3" s="7" t="s">
        <v>64</v>
      </c>
      <c r="AF3" s="23">
        <v>1</v>
      </c>
      <c r="AG3" s="24" t="s">
        <v>6</v>
      </c>
    </row>
    <row r="4" spans="1:33" s="23" customFormat="1" ht="15.95" customHeight="1" thickBot="1">
      <c r="A4" s="156" t="s">
        <v>81</v>
      </c>
      <c r="B4" s="25" t="s">
        <v>6</v>
      </c>
      <c r="C4" s="26" t="s">
        <v>66</v>
      </c>
      <c r="D4" s="27">
        <v>4</v>
      </c>
      <c r="E4" s="28"/>
      <c r="F4" s="29"/>
      <c r="G4" s="29"/>
      <c r="H4" s="30"/>
      <c r="I4" s="31">
        <f>SUM(E4:H4)</f>
        <v>0</v>
      </c>
      <c r="J4" s="29">
        <f>IF(AND(C4="EN",OR(B4=B$35,B4=B$36,B4=B$37)),2,1)</f>
        <v>1</v>
      </c>
      <c r="K4" s="32">
        <f>IF(OR(J4=1,J4=2),I4*J4,"")</f>
        <v>0</v>
      </c>
      <c r="L4" s="32">
        <f>COUNT(E4:H4)*J4</f>
        <v>0</v>
      </c>
      <c r="M4" s="33">
        <v>300</v>
      </c>
      <c r="N4" s="34">
        <v>4</v>
      </c>
      <c r="O4" s="33" t="str">
        <f t="shared" ref="O4:O32" si="0">IF(P5&lt;&gt;"","",IF($F$38&gt;=M4,N4,""))</f>
        <v/>
      </c>
      <c r="P4" s="33" t="str">
        <f t="shared" ref="P4:P32" si="1">O4&amp;""&amp;P5</f>
        <v/>
      </c>
      <c r="Q4" s="17" t="str">
        <f>IF(COUNTBLANK(E4:H4)&gt;0,"Alle 4 Noten eintragen!",IF(COUNTIF(E4:H4,0)&gt;0,"0 Punkte  =&gt; nicht best.!",""))</f>
        <v>Alle 4 Noten eintragen!</v>
      </c>
      <c r="R4" s="18" t="str">
        <f>IF(C4="Niveau?","Niveau wählen!","")</f>
        <v>Niveau wählen!</v>
      </c>
      <c r="S4" s="35" t="str">
        <f>IF(J4=2,IF(AND(OR(B4=B$35,B4=B$36,B4=B$37),C4="EN"),"ja","nein"),"")</f>
        <v/>
      </c>
      <c r="T4" s="7" t="s">
        <v>21</v>
      </c>
      <c r="U4" s="7" t="s">
        <v>24</v>
      </c>
      <c r="V4" s="7" t="s">
        <v>26</v>
      </c>
      <c r="W4" s="7" t="s">
        <v>21</v>
      </c>
      <c r="X4" s="7" t="s">
        <v>31</v>
      </c>
      <c r="Y4" s="7" t="s">
        <v>49</v>
      </c>
      <c r="Z4" s="7" t="s">
        <v>36</v>
      </c>
      <c r="AA4" s="7" t="s">
        <v>38</v>
      </c>
      <c r="AB4" s="7" t="s">
        <v>41</v>
      </c>
      <c r="AC4" s="7" t="s">
        <v>42</v>
      </c>
      <c r="AD4" s="22" t="s">
        <v>11</v>
      </c>
      <c r="AE4" s="7" t="s">
        <v>65</v>
      </c>
      <c r="AF4" s="23">
        <v>2</v>
      </c>
      <c r="AG4" s="7" t="s">
        <v>7</v>
      </c>
    </row>
    <row r="5" spans="1:33" s="23" customFormat="1" ht="15.95" customHeight="1" thickBot="1">
      <c r="A5" s="157"/>
      <c r="B5" s="36" t="s">
        <v>84</v>
      </c>
      <c r="C5" s="26" t="s">
        <v>66</v>
      </c>
      <c r="D5" s="27">
        <v>4</v>
      </c>
      <c r="E5" s="28"/>
      <c r="F5" s="29"/>
      <c r="G5" s="29"/>
      <c r="H5" s="30"/>
      <c r="I5" s="31">
        <f>SUM(E5:H5)</f>
        <v>0</v>
      </c>
      <c r="J5" s="29">
        <f>IF(AND(C5="EN",OR(B5=B$35,B5=B$36,B5=B$37)),2,1)</f>
        <v>1</v>
      </c>
      <c r="K5" s="32">
        <f>IF(OR(J5=1,J5=2),I5*J5,"")</f>
        <v>0</v>
      </c>
      <c r="L5" s="32">
        <f>COUNT(E5:H5)*J5</f>
        <v>0</v>
      </c>
      <c r="M5" s="33">
        <v>301</v>
      </c>
      <c r="N5" s="37">
        <v>3.9</v>
      </c>
      <c r="O5" s="33" t="str">
        <f t="shared" si="0"/>
        <v/>
      </c>
      <c r="P5" s="33" t="str">
        <f t="shared" si="1"/>
        <v/>
      </c>
      <c r="Q5" s="17" t="str">
        <f>IF(COUNTBLANK(E5:H5)&gt;0,"Alle 4 Noten eintragen!",IF(COUNTIF(E5:H5,0)&gt;0,"0 Punkte  =&gt; nicht best.!",""))</f>
        <v>Alle 4 Noten eintragen!</v>
      </c>
      <c r="R5" s="18" t="str">
        <f>IF(C5="Niveau?","Niveau wählen!","")</f>
        <v>Niveau wählen!</v>
      </c>
      <c r="S5" s="35" t="str">
        <f t="shared" ref="S5:S6" si="2">IF(J5=2,IF(AND(OR(B5=B$35,B5=B$36,B5=B$37),C5="EN"),"ja","nein"),"")</f>
        <v/>
      </c>
      <c r="T5" s="24" t="s">
        <v>28</v>
      </c>
      <c r="U5" s="7"/>
      <c r="V5" s="7" t="s">
        <v>27</v>
      </c>
      <c r="W5" s="24" t="s">
        <v>28</v>
      </c>
      <c r="X5" s="7" t="s">
        <v>32</v>
      </c>
      <c r="Y5" s="7" t="s">
        <v>34</v>
      </c>
      <c r="Z5" s="7" t="s">
        <v>37</v>
      </c>
      <c r="AA5" s="7" t="s">
        <v>42</v>
      </c>
      <c r="AB5" s="7" t="s">
        <v>42</v>
      </c>
      <c r="AD5" s="22" t="s">
        <v>42</v>
      </c>
      <c r="AG5" s="20" t="s">
        <v>20</v>
      </c>
    </row>
    <row r="6" spans="1:33" s="23" customFormat="1" ht="15.95" customHeight="1" thickBot="1">
      <c r="A6" s="158"/>
      <c r="B6" s="25" t="s">
        <v>7</v>
      </c>
      <c r="C6" s="26" t="s">
        <v>66</v>
      </c>
      <c r="D6" s="27">
        <v>4</v>
      </c>
      <c r="E6" s="28"/>
      <c r="F6" s="29"/>
      <c r="G6" s="29"/>
      <c r="H6" s="30"/>
      <c r="I6" s="31">
        <f>SUM(E6:H6)</f>
        <v>0</v>
      </c>
      <c r="J6" s="29">
        <f>IF(AND(C6="EN",OR(B6=B$35,B6=B$36,B6=B$37)),2,1)</f>
        <v>1</v>
      </c>
      <c r="K6" s="32">
        <f>IF(OR(J6=1,J6=2),I6*J6,"")</f>
        <v>0</v>
      </c>
      <c r="L6" s="32">
        <f>COUNT(E6:H6)*J6</f>
        <v>0</v>
      </c>
      <c r="M6" s="33">
        <v>319</v>
      </c>
      <c r="N6" s="37">
        <v>3.8</v>
      </c>
      <c r="O6" s="33" t="str">
        <f t="shared" si="0"/>
        <v/>
      </c>
      <c r="P6" s="33" t="str">
        <f t="shared" si="1"/>
        <v/>
      </c>
      <c r="Q6" s="17" t="str">
        <f>IF(COUNTBLANK(E6:H6)&gt;0,"Alle 4 Noten eintragen!",IF(COUNTIF(E6:H6,0)&gt;0,"0 Punkte  =&gt; nicht best.!",""))</f>
        <v>Alle 4 Noten eintragen!</v>
      </c>
      <c r="R6" s="18" t="str">
        <f>IF(C6="Niveau?","Niveau wählen!","")</f>
        <v>Niveau wählen!</v>
      </c>
      <c r="S6" s="35" t="str">
        <f t="shared" si="2"/>
        <v/>
      </c>
      <c r="T6" s="7" t="s">
        <v>22</v>
      </c>
      <c r="U6" s="7"/>
      <c r="V6" s="7" t="s">
        <v>42</v>
      </c>
      <c r="W6" s="7" t="s">
        <v>22</v>
      </c>
      <c r="X6" s="7" t="s">
        <v>42</v>
      </c>
      <c r="Y6" s="7" t="s">
        <v>42</v>
      </c>
      <c r="Z6" s="7" t="s">
        <v>42</v>
      </c>
      <c r="AA6" s="7"/>
      <c r="AG6" s="7" t="s">
        <v>21</v>
      </c>
    </row>
    <row r="7" spans="1:33" s="23" customFormat="1" ht="15.95" customHeight="1" thickBot="1">
      <c r="A7" s="38" t="s">
        <v>8</v>
      </c>
      <c r="B7" s="148"/>
      <c r="C7" s="149"/>
      <c r="D7" s="40"/>
      <c r="E7" s="41"/>
      <c r="F7" s="42"/>
      <c r="G7" s="42"/>
      <c r="H7" s="43"/>
      <c r="I7" s="44"/>
      <c r="J7" s="42"/>
      <c r="K7" s="45"/>
      <c r="L7" s="45"/>
      <c r="M7" s="46">
        <v>337</v>
      </c>
      <c r="N7" s="47">
        <v>3.7</v>
      </c>
      <c r="O7" s="46" t="str">
        <f t="shared" si="0"/>
        <v/>
      </c>
      <c r="P7" s="46" t="str">
        <f t="shared" si="1"/>
        <v/>
      </c>
      <c r="Q7" s="137" t="str">
        <f>IF(COUNTIF(J4:J6,2)=0,"Faktor e. EN-Kern- u. schr. Pr.fachs muss 2 sein!",IF(AND(COUNTIF(J4:J6,2)=1,S7=1),"Faktor e. EN-Kern u. schr. Pr.fachs muss 2 sein!",IF(AND(COUNTIF(J4:J6,2)=2,S7=2),"Faktor e. EN-Kern u. schr. Pr.fachs muss 2 sein!",IF(AND(COUNTIF(J4:J6,2)=3,S7=3),"Faktor e. EN-Kern u. schr. Pr.fachs muss 2 sein!",""))))</f>
        <v>Faktor e. EN-Kern- u. schr. Pr.fachs muss 2 sein!</v>
      </c>
      <c r="R7" s="159"/>
      <c r="S7" s="49">
        <f>COUNTIF(S4:S6,"nein")</f>
        <v>0</v>
      </c>
      <c r="T7" s="24"/>
      <c r="U7" s="7"/>
      <c r="V7" s="7"/>
      <c r="W7" s="7" t="s">
        <v>29</v>
      </c>
      <c r="X7" s="7"/>
      <c r="Y7" s="7"/>
      <c r="Z7" s="7"/>
      <c r="AA7" s="7"/>
      <c r="AG7" s="24" t="s">
        <v>28</v>
      </c>
    </row>
    <row r="8" spans="1:33" s="23" customFormat="1" ht="15.95" customHeight="1" thickBot="1">
      <c r="A8" s="50" t="s">
        <v>44</v>
      </c>
      <c r="B8" s="51" t="s">
        <v>25</v>
      </c>
      <c r="C8" s="52" t="s">
        <v>64</v>
      </c>
      <c r="D8" s="27">
        <v>4</v>
      </c>
      <c r="E8" s="28"/>
      <c r="F8" s="29"/>
      <c r="G8" s="29"/>
      <c r="H8" s="30"/>
      <c r="I8" s="31">
        <f>SUM(E8:H8)</f>
        <v>0</v>
      </c>
      <c r="J8" s="52">
        <v>2</v>
      </c>
      <c r="K8" s="45">
        <f>IF(OR(J8=1,J8=2),I8*J8,"")</f>
        <v>0</v>
      </c>
      <c r="L8" s="45">
        <f>COUNT(E8:H8)*J8</f>
        <v>0</v>
      </c>
      <c r="M8" s="46">
        <v>355</v>
      </c>
      <c r="N8" s="47">
        <v>3.6</v>
      </c>
      <c r="O8" s="46" t="str">
        <f t="shared" si="0"/>
        <v/>
      </c>
      <c r="P8" s="46" t="str">
        <f t="shared" si="1"/>
        <v/>
      </c>
      <c r="Q8" s="48" t="str">
        <f>IF(COUNTBLANK(E8:H8)&gt;0,"Alle 4 Noten eintragen!","")</f>
        <v>Alle 4 Noten eintragen!</v>
      </c>
      <c r="R8" s="18" t="str">
        <f>IF(OR(B8=B$36,B8=B$37,B8=B$38),IF(COUNTIF(E8:H8,0)&gt;0,"0 Punkte  =&gt; nicht best.!",""),"")</f>
        <v/>
      </c>
      <c r="S8" s="49"/>
      <c r="T8" s="24"/>
      <c r="U8" s="7"/>
      <c r="V8" s="7"/>
      <c r="W8" s="7" t="s">
        <v>30</v>
      </c>
      <c r="X8" s="7"/>
      <c r="Y8" s="7"/>
      <c r="Z8" s="7"/>
      <c r="AA8" s="7"/>
      <c r="AG8" s="7" t="s">
        <v>22</v>
      </c>
    </row>
    <row r="9" spans="1:33" s="23" customFormat="1" ht="15.95" customHeight="1" thickBot="1">
      <c r="A9" s="50" t="s">
        <v>45</v>
      </c>
      <c r="B9" s="146" t="s">
        <v>31</v>
      </c>
      <c r="C9" s="147"/>
      <c r="D9" s="27">
        <v>4</v>
      </c>
      <c r="E9" s="28"/>
      <c r="F9" s="29"/>
      <c r="G9" s="29"/>
      <c r="H9" s="30"/>
      <c r="I9" s="31">
        <f>SUM(E9:H9)</f>
        <v>0</v>
      </c>
      <c r="J9" s="113">
        <f>IF(OR(D9=2,D9=4),1,"")</f>
        <v>1</v>
      </c>
      <c r="K9" s="45">
        <f>IF(OR(J9=1,J9=2),I9*J9,"")</f>
        <v>0</v>
      </c>
      <c r="L9" s="45">
        <f>COUNT(E9:H9)*J9</f>
        <v>0</v>
      </c>
      <c r="M9" s="46">
        <v>373</v>
      </c>
      <c r="N9" s="47">
        <v>3.5</v>
      </c>
      <c r="O9" s="46" t="str">
        <f t="shared" si="0"/>
        <v/>
      </c>
      <c r="P9" s="46" t="str">
        <f t="shared" si="1"/>
        <v/>
      </c>
      <c r="Q9" s="17" t="str">
        <f t="shared" ref="Q9:Q28" si="3">IF(OR(B9=B$36,B9=B$37,B9=B$38),IF(COUNTBLANK(E9:H9)&gt;0,"Alle 4 Noten eintragen!",""),"")</f>
        <v/>
      </c>
      <c r="R9" s="18" t="str">
        <f t="shared" ref="R9:R18" si="4">IF(OR(B9=B$36,B9=B$37,B9=B$38),IF(COUNTIF(E9:H9,0)&gt;0,"0 Punkte  =&gt; nicht best.!",""),"")</f>
        <v/>
      </c>
      <c r="S9" s="49"/>
      <c r="T9" s="24" t="s">
        <v>6</v>
      </c>
      <c r="U9" s="7"/>
      <c r="V9" s="7"/>
      <c r="W9" s="7" t="s">
        <v>42</v>
      </c>
      <c r="X9" s="7"/>
      <c r="Y9" s="7"/>
      <c r="Z9" s="7"/>
      <c r="AA9" s="7"/>
      <c r="AG9" s="7" t="s">
        <v>25</v>
      </c>
    </row>
    <row r="10" spans="1:33" s="23" customFormat="1" ht="15.95" customHeight="1" thickBot="1">
      <c r="A10" s="50" t="s">
        <v>45</v>
      </c>
      <c r="B10" s="146" t="s">
        <v>32</v>
      </c>
      <c r="C10" s="147"/>
      <c r="D10" s="27">
        <v>2</v>
      </c>
      <c r="E10" s="28"/>
      <c r="F10" s="29"/>
      <c r="G10" s="29"/>
      <c r="H10" s="30"/>
      <c r="I10" s="31">
        <f>IF(D10="","",SUM(E10:H10))</f>
        <v>0</v>
      </c>
      <c r="J10" s="52">
        <f>IF(D10=2,1,"")</f>
        <v>1</v>
      </c>
      <c r="K10" s="45">
        <f>IF(OR(J10=1,J10=2),I10*J10,"")</f>
        <v>0</v>
      </c>
      <c r="L10" s="45">
        <f>COUNT(E10:H10)*J10</f>
        <v>0</v>
      </c>
      <c r="M10" s="46">
        <v>391</v>
      </c>
      <c r="N10" s="47">
        <v>3.4</v>
      </c>
      <c r="O10" s="46" t="str">
        <f t="shared" si="0"/>
        <v/>
      </c>
      <c r="P10" s="46" t="str">
        <f t="shared" si="1"/>
        <v/>
      </c>
      <c r="Q10" s="17" t="str">
        <f t="shared" si="3"/>
        <v/>
      </c>
      <c r="R10" s="18" t="str">
        <f t="shared" si="4"/>
        <v/>
      </c>
      <c r="S10" s="49"/>
      <c r="T10" s="7" t="s">
        <v>7</v>
      </c>
      <c r="U10" s="7"/>
      <c r="V10" s="7"/>
      <c r="W10" s="7"/>
      <c r="X10" s="7"/>
      <c r="Y10" s="7"/>
      <c r="Z10" s="7"/>
      <c r="AA10" s="7"/>
      <c r="AG10" s="7" t="s">
        <v>26</v>
      </c>
    </row>
    <row r="11" spans="1:33" s="23" customFormat="1" ht="15.95" customHeight="1" thickBot="1">
      <c r="A11" s="50" t="s">
        <v>12</v>
      </c>
      <c r="B11" s="146" t="s">
        <v>12</v>
      </c>
      <c r="C11" s="147"/>
      <c r="D11" s="27">
        <v>2</v>
      </c>
      <c r="E11" s="28"/>
      <c r="F11" s="29"/>
      <c r="G11" s="29"/>
      <c r="H11" s="30"/>
      <c r="I11" s="31">
        <f>IF(D11="","",SUM(E11:H11))</f>
        <v>0</v>
      </c>
      <c r="J11" s="52">
        <f>IF(D11=2,1,"")</f>
        <v>1</v>
      </c>
      <c r="K11" s="45">
        <f>IF(OR(J11=1,J11=2),I11*J11,"")</f>
        <v>0</v>
      </c>
      <c r="L11" s="45">
        <f>COUNT(E11:H11)*J11</f>
        <v>0</v>
      </c>
      <c r="M11" s="46">
        <v>409</v>
      </c>
      <c r="N11" s="47">
        <v>3.3</v>
      </c>
      <c r="O11" s="46" t="str">
        <f t="shared" si="0"/>
        <v/>
      </c>
      <c r="P11" s="46" t="str">
        <f t="shared" si="1"/>
        <v/>
      </c>
      <c r="Q11" s="17" t="str">
        <f t="shared" si="3"/>
        <v/>
      </c>
      <c r="R11" s="18" t="str">
        <f t="shared" si="4"/>
        <v/>
      </c>
      <c r="S11" s="49"/>
      <c r="T11" s="20" t="s">
        <v>20</v>
      </c>
      <c r="U11" s="7"/>
      <c r="V11" s="7"/>
      <c r="X11" s="7"/>
      <c r="Y11" s="7"/>
      <c r="Z11" s="7"/>
      <c r="AA11" s="7"/>
      <c r="AG11" s="7" t="s">
        <v>27</v>
      </c>
    </row>
    <row r="12" spans="1:33" s="23" customFormat="1" ht="15.95" customHeight="1" thickBot="1">
      <c r="A12" s="38" t="s">
        <v>13</v>
      </c>
      <c r="B12" s="148"/>
      <c r="C12" s="149"/>
      <c r="D12" s="40"/>
      <c r="E12" s="41"/>
      <c r="F12" s="42"/>
      <c r="G12" s="42"/>
      <c r="H12" s="43"/>
      <c r="I12" s="44"/>
      <c r="J12" s="42"/>
      <c r="K12" s="45"/>
      <c r="L12" s="45"/>
      <c r="M12" s="46">
        <v>427</v>
      </c>
      <c r="N12" s="47">
        <v>3.2</v>
      </c>
      <c r="O12" s="46" t="str">
        <f t="shared" si="0"/>
        <v/>
      </c>
      <c r="P12" s="46" t="str">
        <f t="shared" si="1"/>
        <v/>
      </c>
      <c r="Q12" s="137"/>
      <c r="R12" s="154"/>
      <c r="S12" s="49"/>
      <c r="T12" s="7" t="s">
        <v>21</v>
      </c>
      <c r="U12" s="7"/>
      <c r="V12" s="7"/>
      <c r="W12" s="7"/>
      <c r="X12" s="7"/>
      <c r="Y12" s="7"/>
      <c r="Z12" s="7"/>
      <c r="AA12" s="7"/>
      <c r="AG12" s="21" t="s">
        <v>9</v>
      </c>
    </row>
    <row r="13" spans="1:33" s="60" customFormat="1" ht="15.95" customHeight="1" thickBot="1">
      <c r="A13" s="196" t="s">
        <v>85</v>
      </c>
      <c r="B13" s="152" t="s">
        <v>40</v>
      </c>
      <c r="C13" s="153"/>
      <c r="D13" s="55">
        <v>2</v>
      </c>
      <c r="E13" s="56"/>
      <c r="F13" s="57"/>
      <c r="G13" s="57"/>
      <c r="H13" s="58"/>
      <c r="I13" s="31">
        <f t="shared" ref="I13:I14" si="5">IF(D13="","",SUM(E13:H13))</f>
        <v>0</v>
      </c>
      <c r="J13" s="52">
        <f>IF(D13=2,1,"")</f>
        <v>1</v>
      </c>
      <c r="K13" s="45">
        <f t="shared" ref="K13:K14" si="6">IF(OR(J13=1,J13=2),I13*J13,"")</f>
        <v>0</v>
      </c>
      <c r="L13" s="45" t="str">
        <f t="shared" ref="L13:L14" si="7">IF(COUNT(E13:H13)=0,"",COUNT(E13:H13)*J13)</f>
        <v/>
      </c>
      <c r="M13" s="46">
        <v>445</v>
      </c>
      <c r="N13" s="47">
        <v>3.1</v>
      </c>
      <c r="O13" s="46" t="str">
        <f t="shared" si="0"/>
        <v/>
      </c>
      <c r="P13" s="46" t="str">
        <f t="shared" si="1"/>
        <v/>
      </c>
      <c r="Q13" s="199" t="str">
        <f>IF(OR(COUNTBLANK(E13:H13)=0,COUNTBLANK(E14:H14)=0),"","In einem der Fächer alle 4 Noten eintragen!")</f>
        <v>In einem der Fächer alle 4 Noten eintragen!</v>
      </c>
      <c r="R13" s="18" t="str">
        <f>IF(OR(B13=B$36,B13=B$37,B13=B$38),IF(COUNTIF(E13:H13,0)&gt;0,"0 Punkte  =&gt; nicht best.!",""),"")</f>
        <v/>
      </c>
      <c r="S13" s="59"/>
      <c r="T13" s="24" t="s">
        <v>28</v>
      </c>
      <c r="U13" s="7"/>
      <c r="V13" s="7"/>
      <c r="W13" s="7"/>
      <c r="X13" s="7"/>
      <c r="Y13" s="7"/>
      <c r="Z13" s="7"/>
      <c r="AA13" s="7"/>
      <c r="AG13" s="7" t="s">
        <v>41</v>
      </c>
    </row>
    <row r="14" spans="1:33" s="60" customFormat="1" ht="15.95" customHeight="1" thickBot="1">
      <c r="A14" s="197"/>
      <c r="B14" s="152" t="s">
        <v>40</v>
      </c>
      <c r="C14" s="153"/>
      <c r="D14" s="63">
        <v>2</v>
      </c>
      <c r="E14" s="56"/>
      <c r="F14" s="57"/>
      <c r="G14" s="57"/>
      <c r="H14" s="58"/>
      <c r="I14" s="31">
        <f t="shared" si="5"/>
        <v>0</v>
      </c>
      <c r="J14" s="52">
        <f>IF(D14=2,1,"")</f>
        <v>1</v>
      </c>
      <c r="K14" s="45">
        <f t="shared" si="6"/>
        <v>0</v>
      </c>
      <c r="L14" s="45" t="str">
        <f t="shared" si="7"/>
        <v/>
      </c>
      <c r="M14" s="46">
        <v>463</v>
      </c>
      <c r="N14" s="64">
        <v>3</v>
      </c>
      <c r="O14" s="46" t="str">
        <f t="shared" si="0"/>
        <v/>
      </c>
      <c r="P14" s="46" t="str">
        <f t="shared" si="1"/>
        <v/>
      </c>
      <c r="Q14" s="200"/>
      <c r="R14" s="18" t="str">
        <f t="shared" si="4"/>
        <v/>
      </c>
      <c r="S14" s="59"/>
      <c r="T14" s="7" t="s">
        <v>22</v>
      </c>
      <c r="U14" s="7"/>
      <c r="V14" s="7"/>
      <c r="W14" s="7"/>
      <c r="X14" s="7"/>
      <c r="Y14" s="7"/>
      <c r="Z14" s="7"/>
      <c r="AA14" s="7"/>
      <c r="AG14" s="22" t="s">
        <v>11</v>
      </c>
    </row>
    <row r="15" spans="1:33" s="23" customFormat="1" ht="15.95" hidden="1" customHeight="1" thickBot="1">
      <c r="A15" s="50"/>
      <c r="B15" s="141"/>
      <c r="C15" s="142"/>
      <c r="D15" s="27"/>
      <c r="E15" s="28"/>
      <c r="F15" s="29"/>
      <c r="G15" s="29"/>
      <c r="H15" s="30"/>
      <c r="I15" s="31"/>
      <c r="J15" s="29"/>
      <c r="K15" s="45"/>
      <c r="L15" s="45"/>
      <c r="M15" s="46"/>
      <c r="N15" s="47"/>
      <c r="O15" s="46"/>
      <c r="P15" s="46"/>
      <c r="Q15" s="17"/>
      <c r="R15" s="18"/>
      <c r="S15" s="49"/>
      <c r="U15" s="7"/>
      <c r="V15" s="7"/>
      <c r="W15" s="7"/>
      <c r="X15" s="7"/>
      <c r="Y15" s="7"/>
      <c r="Z15" s="7"/>
      <c r="AA15" s="7"/>
      <c r="AG15" s="7" t="s">
        <v>23</v>
      </c>
    </row>
    <row r="16" spans="1:33" s="23" customFormat="1" ht="15.95" customHeight="1" thickBot="1">
      <c r="A16" s="50" t="s">
        <v>48</v>
      </c>
      <c r="B16" s="141" t="s">
        <v>40</v>
      </c>
      <c r="C16" s="142"/>
      <c r="D16" s="27">
        <v>2</v>
      </c>
      <c r="E16" s="28"/>
      <c r="F16" s="29"/>
      <c r="G16" s="29"/>
      <c r="H16" s="30"/>
      <c r="I16" s="31">
        <f t="shared" ref="I16:I18" si="8">IF(D16="","",SUM(E16:H16))</f>
        <v>0</v>
      </c>
      <c r="J16" s="52">
        <f>IF(D16=2,1,"")</f>
        <v>1</v>
      </c>
      <c r="K16" s="45">
        <f t="shared" ref="K16:K18" si="9">IF(OR(J16=1,J16=2),I16*J16,"")</f>
        <v>0</v>
      </c>
      <c r="L16" s="45" t="str">
        <f t="shared" ref="L16:L18" si="10">IF(COUNT(E16:H16)=0,"",COUNT(E16:H16)*J16)</f>
        <v/>
      </c>
      <c r="M16" s="46">
        <v>499</v>
      </c>
      <c r="N16" s="47">
        <v>2.8</v>
      </c>
      <c r="O16" s="46" t="str">
        <f t="shared" si="0"/>
        <v/>
      </c>
      <c r="P16" s="46" t="str">
        <f t="shared" si="1"/>
        <v/>
      </c>
      <c r="Q16" s="17" t="str">
        <f t="shared" si="3"/>
        <v/>
      </c>
      <c r="R16" s="18" t="str">
        <f t="shared" si="4"/>
        <v/>
      </c>
      <c r="S16" s="49"/>
      <c r="T16" s="7"/>
      <c r="U16" s="7"/>
      <c r="V16" s="7"/>
      <c r="W16" s="7"/>
      <c r="X16" s="7"/>
      <c r="Y16" s="7"/>
      <c r="Z16" s="7"/>
      <c r="AA16" s="7"/>
      <c r="AG16" s="7" t="s">
        <v>24</v>
      </c>
    </row>
    <row r="17" spans="1:33" s="23" customFormat="1" ht="15.95" customHeight="1" thickBot="1">
      <c r="A17" s="50" t="s">
        <v>46</v>
      </c>
      <c r="B17" s="141" t="s">
        <v>40</v>
      </c>
      <c r="C17" s="142"/>
      <c r="D17" s="27">
        <v>2</v>
      </c>
      <c r="E17" s="28"/>
      <c r="F17" s="29"/>
      <c r="G17" s="29"/>
      <c r="H17" s="30"/>
      <c r="I17" s="31">
        <f t="shared" si="8"/>
        <v>0</v>
      </c>
      <c r="J17" s="52">
        <f>IF(D17=2,1,"")</f>
        <v>1</v>
      </c>
      <c r="K17" s="45">
        <f t="shared" si="9"/>
        <v>0</v>
      </c>
      <c r="L17" s="45" t="str">
        <f t="shared" si="10"/>
        <v/>
      </c>
      <c r="M17" s="46">
        <v>517</v>
      </c>
      <c r="N17" s="47">
        <v>2.7</v>
      </c>
      <c r="O17" s="46" t="str">
        <f t="shared" si="0"/>
        <v/>
      </c>
      <c r="P17" s="46" t="str">
        <f t="shared" si="1"/>
        <v/>
      </c>
      <c r="Q17" s="48" t="str">
        <f t="shared" si="3"/>
        <v/>
      </c>
      <c r="R17" s="18" t="str">
        <f t="shared" si="4"/>
        <v/>
      </c>
      <c r="S17" s="49"/>
      <c r="U17" s="7"/>
      <c r="V17" s="7"/>
      <c r="W17" s="7"/>
      <c r="X17" s="7"/>
      <c r="Y17" s="7"/>
      <c r="Z17" s="7"/>
      <c r="AA17" s="7"/>
      <c r="AG17" s="7" t="s">
        <v>33</v>
      </c>
    </row>
    <row r="18" spans="1:33" s="23" customFormat="1" ht="15.95" customHeight="1" thickBot="1">
      <c r="A18" s="50" t="s">
        <v>14</v>
      </c>
      <c r="B18" s="146" t="s">
        <v>14</v>
      </c>
      <c r="C18" s="155"/>
      <c r="D18" s="27">
        <v>2</v>
      </c>
      <c r="E18" s="28"/>
      <c r="F18" s="29"/>
      <c r="G18" s="29"/>
      <c r="H18" s="30"/>
      <c r="I18" s="31">
        <f t="shared" si="8"/>
        <v>0</v>
      </c>
      <c r="J18" s="52">
        <f>IF(D18=2,1,"")</f>
        <v>1</v>
      </c>
      <c r="K18" s="45">
        <f t="shared" si="9"/>
        <v>0</v>
      </c>
      <c r="L18" s="45" t="str">
        <f t="shared" si="10"/>
        <v/>
      </c>
      <c r="M18" s="46">
        <v>535</v>
      </c>
      <c r="N18" s="47">
        <v>2.6</v>
      </c>
      <c r="O18" s="46" t="str">
        <f t="shared" si="0"/>
        <v/>
      </c>
      <c r="P18" s="46" t="str">
        <f t="shared" si="1"/>
        <v/>
      </c>
      <c r="Q18" s="17" t="str">
        <f t="shared" si="3"/>
        <v/>
      </c>
      <c r="R18" s="18" t="str">
        <f t="shared" si="4"/>
        <v/>
      </c>
      <c r="S18" s="49"/>
      <c r="U18" s="7"/>
      <c r="V18" s="7"/>
      <c r="W18" s="7"/>
      <c r="X18" s="7"/>
      <c r="Y18" s="7"/>
      <c r="Z18" s="7"/>
      <c r="AA18" s="7"/>
      <c r="AG18" s="7" t="s">
        <v>49</v>
      </c>
    </row>
    <row r="19" spans="1:33" s="23" customFormat="1" ht="15.95" customHeight="1" thickBot="1">
      <c r="A19" s="38" t="s">
        <v>15</v>
      </c>
      <c r="B19" s="148"/>
      <c r="C19" s="149"/>
      <c r="D19" s="40"/>
      <c r="E19" s="41"/>
      <c r="F19" s="42"/>
      <c r="G19" s="42"/>
      <c r="H19" s="43"/>
      <c r="I19" s="44"/>
      <c r="J19" s="42"/>
      <c r="K19" s="45"/>
      <c r="L19" s="45"/>
      <c r="M19" s="46">
        <v>553</v>
      </c>
      <c r="N19" s="47">
        <v>2.5</v>
      </c>
      <c r="O19" s="46" t="str">
        <f t="shared" si="0"/>
        <v/>
      </c>
      <c r="P19" s="46" t="str">
        <f t="shared" si="1"/>
        <v/>
      </c>
      <c r="Q19" s="17" t="str">
        <f>IF(OR(B13="Auswahlliste!",B14="Auswahlliste!",B15="Auswahlliste!",B16="Auswahlliste!",B17="Auswahlliste!"),"Wahlpfl.fächer wählen!","")</f>
        <v>Wahlpfl.fächer wählen!</v>
      </c>
      <c r="R19" s="18"/>
      <c r="S19" s="49"/>
      <c r="U19" s="7"/>
      <c r="V19" s="7"/>
      <c r="W19" s="7"/>
      <c r="X19" s="7"/>
      <c r="Y19" s="7"/>
      <c r="Z19" s="7"/>
      <c r="AA19" s="7"/>
      <c r="AG19" s="7" t="s">
        <v>34</v>
      </c>
    </row>
    <row r="20" spans="1:33" s="23" customFormat="1" ht="15.95" customHeight="1" thickBot="1">
      <c r="A20" s="50" t="s">
        <v>54</v>
      </c>
      <c r="B20" s="141" t="s">
        <v>42</v>
      </c>
      <c r="C20" s="142"/>
      <c r="D20" s="27" t="str">
        <f>IF(OR(B20=V3,B20=V4,B20=V5),4,"")</f>
        <v/>
      </c>
      <c r="E20" s="28"/>
      <c r="F20" s="29"/>
      <c r="G20" s="29"/>
      <c r="H20" s="30"/>
      <c r="I20" s="31" t="str">
        <f>IF(D20="","",SUM(E20:H20))</f>
        <v/>
      </c>
      <c r="J20" s="136" t="str">
        <f>IF(D20=4,1,"")</f>
        <v/>
      </c>
      <c r="K20" s="45" t="str">
        <f t="shared" ref="K20:K28" si="11">IF(OR(J20=1,J20=2),I20*J20,"")</f>
        <v/>
      </c>
      <c r="L20" s="45" t="str">
        <f t="shared" ref="L20:L28" si="12">IF(COUNT(E20:H20)=0,"",COUNT(E20:H20)*J20)</f>
        <v/>
      </c>
      <c r="M20" s="46">
        <v>571</v>
      </c>
      <c r="N20" s="47">
        <v>2.4</v>
      </c>
      <c r="O20" s="46" t="str">
        <f t="shared" si="0"/>
        <v/>
      </c>
      <c r="P20" s="46" t="str">
        <f t="shared" si="1"/>
        <v/>
      </c>
      <c r="Q20" s="17" t="str">
        <f t="shared" si="3"/>
        <v/>
      </c>
      <c r="R20" s="18" t="str">
        <f t="shared" ref="R20:R27" si="13">IF(AND(COUNTBLANK(E20:H20)&lt;4,D20=""),"Fach auswählen!",IF(OR(B20=B$36,B20=B$37,B20=B$38),IF(COUNTIF(E20:H20,0)&gt;0,"0 Punkte  =&gt; nicht best.!",""),""))</f>
        <v/>
      </c>
      <c r="S20" s="49"/>
      <c r="U20" s="7"/>
      <c r="V20" s="7"/>
      <c r="W20" s="7"/>
      <c r="X20" s="7"/>
      <c r="Y20" s="7"/>
      <c r="Z20" s="7"/>
      <c r="AA20" s="7"/>
      <c r="AG20" s="21" t="s">
        <v>39</v>
      </c>
    </row>
    <row r="21" spans="1:33" s="23" customFormat="1" ht="15.95" customHeight="1" thickBot="1">
      <c r="A21" s="65" t="s">
        <v>55</v>
      </c>
      <c r="B21" s="160" t="s">
        <v>42</v>
      </c>
      <c r="C21" s="161"/>
      <c r="D21" s="66" t="str">
        <f>IF(OR(B21=W3,B21=W4,B21=W5,B21=W6),4,"")</f>
        <v/>
      </c>
      <c r="E21" s="166"/>
      <c r="F21" s="169"/>
      <c r="G21" s="169"/>
      <c r="H21" s="170"/>
      <c r="I21" s="69" t="str">
        <f>IF(D21="","",SUM(E21:H21))</f>
        <v/>
      </c>
      <c r="J21" s="70" t="str">
        <f>IF(D21=4,1,"")</f>
        <v/>
      </c>
      <c r="K21" s="45" t="str">
        <f t="shared" si="11"/>
        <v/>
      </c>
      <c r="L21" s="45" t="str">
        <f t="shared" si="12"/>
        <v/>
      </c>
      <c r="M21" s="46">
        <v>589</v>
      </c>
      <c r="N21" s="47">
        <v>2.2999999999999998</v>
      </c>
      <c r="O21" s="46" t="str">
        <f t="shared" si="0"/>
        <v/>
      </c>
      <c r="P21" s="46" t="str">
        <f t="shared" si="1"/>
        <v/>
      </c>
      <c r="Q21" s="17" t="str">
        <f t="shared" si="3"/>
        <v/>
      </c>
      <c r="R21" s="18" t="str">
        <f>IF(AND(COUNTBLANK(E21:H21)&lt;4,D21=""),"Fach auswählen!",IF(OR(B21=B$36,B21=B$37,B21=B$38),IF(COUNTIF(E21:H21,0)&gt;0,"0 Punkte  =&gt; nicht best.!",""),""))</f>
        <v/>
      </c>
      <c r="S21" s="49"/>
      <c r="U21" s="7"/>
      <c r="V21" s="7"/>
      <c r="W21" s="7"/>
      <c r="X21" s="7"/>
      <c r="Y21" s="7"/>
      <c r="Z21" s="7"/>
      <c r="AA21" s="7"/>
      <c r="AG21" s="7" t="s">
        <v>14</v>
      </c>
    </row>
    <row r="22" spans="1:33" s="23" customFormat="1" ht="15.95" customHeight="1" thickBot="1">
      <c r="A22" s="65" t="s">
        <v>16</v>
      </c>
      <c r="B22" s="162"/>
      <c r="C22" s="163"/>
      <c r="D22" s="71" t="str">
        <f>IF(B21=W7,2,"")</f>
        <v/>
      </c>
      <c r="E22" s="167"/>
      <c r="F22" s="169"/>
      <c r="G22" s="169"/>
      <c r="H22" s="170"/>
      <c r="I22" s="72" t="str">
        <f>IF(D22="","",SUM(E22:H22))</f>
        <v/>
      </c>
      <c r="J22" s="73" t="str">
        <f t="shared" ref="J22:J29" si="14">IF(D22=2,1,"")</f>
        <v/>
      </c>
      <c r="K22" s="45" t="str">
        <f t="shared" si="11"/>
        <v/>
      </c>
      <c r="L22" s="45" t="str">
        <f t="shared" si="12"/>
        <v/>
      </c>
      <c r="M22" s="46">
        <v>607</v>
      </c>
      <c r="N22" s="47">
        <v>2.2000000000000002</v>
      </c>
      <c r="O22" s="46" t="str">
        <f t="shared" si="0"/>
        <v/>
      </c>
      <c r="P22" s="46" t="str">
        <f t="shared" si="1"/>
        <v/>
      </c>
      <c r="Q22" s="17" t="str">
        <f>IF(OR(B21=B$36,B21=B$37,B21=B$38),IF(COUNTBLANK(E21:H21)&gt;0,"Alle 4 Noten eintragen!",""),"")</f>
        <v/>
      </c>
      <c r="R22" s="18" t="str">
        <f>IF(AND(COUNTBLANK(E21:H21)&lt;4,D22=""),"Fach auswählen!",IF(OR(B22=B$36,B22=B$37,B22=B$38),IF(COUNTIF(E22:H22,0)&gt;0,"0 Punkte  =&gt; nicht best.!",""),""))</f>
        <v/>
      </c>
      <c r="S22" s="49"/>
      <c r="U22" s="7"/>
      <c r="V22" s="7"/>
      <c r="W22" s="7"/>
      <c r="X22" s="7"/>
      <c r="Y22" s="7"/>
      <c r="Z22" s="7"/>
      <c r="AA22" s="7"/>
      <c r="AG22" s="7"/>
    </row>
    <row r="23" spans="1:33" s="23" customFormat="1" ht="15.95" customHeight="1" thickBot="1">
      <c r="A23" s="50" t="s">
        <v>86</v>
      </c>
      <c r="B23" s="164"/>
      <c r="C23" s="165"/>
      <c r="D23" s="74" t="str">
        <f>IF(OR(B21=W8),2,"")</f>
        <v/>
      </c>
      <c r="E23" s="168"/>
      <c r="F23" s="169"/>
      <c r="G23" s="169"/>
      <c r="H23" s="170"/>
      <c r="I23" s="76" t="str">
        <f>IF(D23="","",SUM(E23:H23))</f>
        <v/>
      </c>
      <c r="J23" s="77" t="str">
        <f t="shared" si="14"/>
        <v/>
      </c>
      <c r="K23" s="45" t="str">
        <f t="shared" si="11"/>
        <v/>
      </c>
      <c r="L23" s="45" t="str">
        <f t="shared" si="12"/>
        <v/>
      </c>
      <c r="M23" s="46">
        <v>625</v>
      </c>
      <c r="N23" s="47">
        <v>2.1</v>
      </c>
      <c r="O23" s="46" t="str">
        <f t="shared" si="0"/>
        <v/>
      </c>
      <c r="P23" s="46" t="str">
        <f t="shared" si="1"/>
        <v/>
      </c>
      <c r="Q23" s="17" t="str">
        <f>IF(OR(B21=B$36,B21=B$37,B21=B$38),IF(COUNTBLANK(E21:H21)&gt;0,"Alle 4 Noten eintragen!",""),"")</f>
        <v/>
      </c>
      <c r="R23" s="18" t="str">
        <f>IF(AND(COUNTBLANK(E21:H21)&lt;4,D23=""),"Fach auswählen!",IF(OR(B23=B$36,B23=B$37,B23=B$38),IF(COUNTIF(E23:H23,0)&gt;0,"0 Punkte  =&gt; nicht best.!",""),""))</f>
        <v/>
      </c>
      <c r="S23" s="49"/>
      <c r="T23" s="7"/>
      <c r="U23" s="7"/>
      <c r="V23" s="7"/>
      <c r="W23" s="7"/>
      <c r="X23" s="7"/>
      <c r="Y23" s="7"/>
      <c r="Z23" s="7"/>
      <c r="AA23" s="7"/>
      <c r="AG23" s="7"/>
    </row>
    <row r="24" spans="1:33" s="23" customFormat="1" ht="15.95" customHeight="1" thickBot="1">
      <c r="A24" s="50" t="s">
        <v>46</v>
      </c>
      <c r="B24" s="141" t="s">
        <v>42</v>
      </c>
      <c r="C24" s="142"/>
      <c r="D24" s="27" t="str">
        <f>IF(OR(B24=Y3,B24=Y4,B24=Y5),2,"")</f>
        <v/>
      </c>
      <c r="E24" s="28"/>
      <c r="F24" s="29"/>
      <c r="G24" s="29"/>
      <c r="H24" s="30"/>
      <c r="I24" s="31" t="str">
        <f>IF(D24="","",SUM(E24:H24))</f>
        <v/>
      </c>
      <c r="J24" s="78" t="str">
        <f t="shared" si="14"/>
        <v/>
      </c>
      <c r="K24" s="45" t="str">
        <f t="shared" si="11"/>
        <v/>
      </c>
      <c r="L24" s="45" t="str">
        <f t="shared" si="12"/>
        <v/>
      </c>
      <c r="M24" s="46">
        <v>643</v>
      </c>
      <c r="N24" s="64">
        <v>2</v>
      </c>
      <c r="O24" s="46" t="str">
        <f t="shared" si="0"/>
        <v/>
      </c>
      <c r="P24" s="46" t="str">
        <f t="shared" si="1"/>
        <v/>
      </c>
      <c r="Q24" s="17" t="str">
        <f t="shared" si="3"/>
        <v/>
      </c>
      <c r="R24" s="18" t="str">
        <f t="shared" si="13"/>
        <v/>
      </c>
      <c r="S24" s="49"/>
      <c r="U24" s="7"/>
      <c r="V24" s="7"/>
      <c r="W24" s="7"/>
      <c r="X24" s="7"/>
      <c r="Y24" s="7"/>
      <c r="Z24" s="7"/>
      <c r="AA24" s="7"/>
    </row>
    <row r="25" spans="1:33" s="23" customFormat="1" ht="15.95" customHeight="1" thickBot="1">
      <c r="A25" s="50" t="s">
        <v>51</v>
      </c>
      <c r="B25" s="141" t="s">
        <v>42</v>
      </c>
      <c r="C25" s="142"/>
      <c r="D25" s="27" t="str">
        <f>IF(OR(B25=Z3,B25=Z4,B25=Z5),2,"")</f>
        <v/>
      </c>
      <c r="E25" s="28"/>
      <c r="F25" s="29"/>
      <c r="G25" s="29"/>
      <c r="H25" s="30"/>
      <c r="I25" s="31" t="str">
        <f t="shared" ref="I25:I28" si="15">IF(D25="","",SUM(E25:H25))</f>
        <v/>
      </c>
      <c r="J25" s="78" t="str">
        <f t="shared" si="14"/>
        <v/>
      </c>
      <c r="K25" s="45" t="str">
        <f t="shared" si="11"/>
        <v/>
      </c>
      <c r="L25" s="45" t="str">
        <f t="shared" si="12"/>
        <v/>
      </c>
      <c r="M25" s="46">
        <v>661</v>
      </c>
      <c r="N25" s="47">
        <v>1.9</v>
      </c>
      <c r="O25" s="46" t="str">
        <f t="shared" si="0"/>
        <v/>
      </c>
      <c r="P25" s="46" t="str">
        <f t="shared" si="1"/>
        <v/>
      </c>
      <c r="Q25" s="17" t="str">
        <f>IF(COUNTBLANK(E25:H25)=0,"Nur 3 Kurse einzubringen!","")</f>
        <v/>
      </c>
      <c r="R25" s="18" t="str">
        <f t="shared" si="13"/>
        <v/>
      </c>
      <c r="S25" s="49"/>
      <c r="U25" s="7"/>
      <c r="V25" s="7"/>
      <c r="W25" s="7"/>
      <c r="X25" s="7"/>
      <c r="Y25" s="7"/>
      <c r="Z25" s="7"/>
      <c r="AA25" s="7"/>
    </row>
    <row r="26" spans="1:33" s="23" customFormat="1" ht="15.95" customHeight="1" thickBot="1">
      <c r="A26" s="50"/>
      <c r="B26" s="141"/>
      <c r="C26" s="142"/>
      <c r="D26" s="27" t="str">
        <f>IF(B26=AB4,2,"")</f>
        <v/>
      </c>
      <c r="E26" s="28"/>
      <c r="F26" s="29"/>
      <c r="G26" s="29"/>
      <c r="H26" s="30"/>
      <c r="I26" s="31"/>
      <c r="J26" s="78" t="str">
        <f t="shared" si="14"/>
        <v/>
      </c>
      <c r="K26" s="45"/>
      <c r="L26" s="45"/>
      <c r="M26" s="46"/>
      <c r="N26" s="47"/>
      <c r="O26" s="46"/>
      <c r="P26" s="46"/>
      <c r="Q26" s="17"/>
      <c r="R26" s="18"/>
      <c r="S26" s="49"/>
      <c r="U26" s="7"/>
      <c r="V26" s="7"/>
      <c r="W26" s="7"/>
      <c r="X26" s="7"/>
      <c r="Y26" s="7"/>
      <c r="Z26" s="7"/>
      <c r="AA26" s="7"/>
      <c r="AG26" s="7"/>
    </row>
    <row r="27" spans="1:33" s="23" customFormat="1" ht="15.95" customHeight="1" thickBot="1">
      <c r="A27" s="114" t="s">
        <v>58</v>
      </c>
      <c r="B27" s="141" t="s">
        <v>42</v>
      </c>
      <c r="C27" s="142"/>
      <c r="D27" s="27" t="str">
        <f>IF(OR(B27=AA3,B27=AA4),2,"")</f>
        <v/>
      </c>
      <c r="E27" s="28"/>
      <c r="F27" s="29"/>
      <c r="G27" s="29"/>
      <c r="H27" s="30"/>
      <c r="I27" s="31" t="str">
        <f t="shared" si="15"/>
        <v/>
      </c>
      <c r="J27" s="78" t="str">
        <f t="shared" si="14"/>
        <v/>
      </c>
      <c r="K27" s="45" t="str">
        <f t="shared" si="11"/>
        <v/>
      </c>
      <c r="L27" s="45" t="str">
        <f t="shared" si="12"/>
        <v/>
      </c>
      <c r="M27" s="46">
        <v>697</v>
      </c>
      <c r="N27" s="47">
        <v>1.7</v>
      </c>
      <c r="O27" s="46" t="str">
        <f t="shared" si="0"/>
        <v/>
      </c>
      <c r="P27" s="46" t="str">
        <f t="shared" si="1"/>
        <v/>
      </c>
      <c r="Q27" s="17" t="str">
        <f t="shared" si="3"/>
        <v/>
      </c>
      <c r="R27" s="18" t="str">
        <f t="shared" si="13"/>
        <v/>
      </c>
      <c r="S27" s="49"/>
      <c r="T27" s="7"/>
      <c r="U27" s="7"/>
      <c r="V27" s="7"/>
      <c r="W27" s="7"/>
      <c r="X27" s="7"/>
      <c r="Y27" s="7"/>
      <c r="Z27" s="7"/>
      <c r="AA27" s="7"/>
      <c r="AG27" s="7"/>
    </row>
    <row r="28" spans="1:33" s="23" customFormat="1" ht="15.95" customHeight="1" thickBot="1">
      <c r="A28" s="50" t="s">
        <v>18</v>
      </c>
      <c r="B28" s="141" t="s">
        <v>42</v>
      </c>
      <c r="C28" s="142"/>
      <c r="D28" s="27" t="str">
        <f>IF(OR(B28=AC3),2,"")</f>
        <v/>
      </c>
      <c r="E28" s="28"/>
      <c r="F28" s="29"/>
      <c r="G28" s="29"/>
      <c r="H28" s="30"/>
      <c r="I28" s="31" t="str">
        <f t="shared" si="15"/>
        <v/>
      </c>
      <c r="J28" s="78" t="str">
        <f t="shared" si="14"/>
        <v/>
      </c>
      <c r="K28" s="45" t="str">
        <f t="shared" si="11"/>
        <v/>
      </c>
      <c r="L28" s="45" t="str">
        <f t="shared" si="12"/>
        <v/>
      </c>
      <c r="M28" s="46">
        <v>715</v>
      </c>
      <c r="N28" s="47">
        <v>1.6</v>
      </c>
      <c r="O28" s="46" t="str">
        <f t="shared" si="0"/>
        <v/>
      </c>
      <c r="P28" s="46" t="str">
        <f t="shared" si="1"/>
        <v/>
      </c>
      <c r="Q28" s="17" t="str">
        <f t="shared" si="3"/>
        <v/>
      </c>
      <c r="R28" s="18" t="str">
        <f>IF(AND(COUNTBLANK(E28:H28)&lt;4,D28=""),"Fach auswählen!",IF(OR(B28=B$36,B28=B$37,B28=B$38),IF(COUNTIF(E28:H28,0)&gt;0,"0 Punkte  =&gt; nicht best.!",""),""))</f>
        <v/>
      </c>
      <c r="S28" s="49"/>
      <c r="U28" s="7"/>
      <c r="V28" s="7"/>
      <c r="W28" s="7"/>
      <c r="X28" s="7"/>
      <c r="Y28" s="7"/>
      <c r="Z28" s="7"/>
      <c r="AA28" s="7"/>
      <c r="AG28" s="7"/>
    </row>
    <row r="29" spans="1:33" s="23" customFormat="1" ht="15.95" customHeight="1" thickBot="1">
      <c r="A29" s="79"/>
      <c r="B29" s="171"/>
      <c r="C29" s="172"/>
      <c r="D29" s="27" t="str">
        <f>IF(B29=AD3,2,"")</f>
        <v/>
      </c>
      <c r="E29" s="28"/>
      <c r="F29" s="29"/>
      <c r="G29" s="29"/>
      <c r="H29" s="30"/>
      <c r="I29" s="31"/>
      <c r="J29" s="78" t="str">
        <f t="shared" si="14"/>
        <v/>
      </c>
      <c r="K29" s="45"/>
      <c r="L29" s="45"/>
      <c r="M29" s="46"/>
      <c r="N29" s="47"/>
      <c r="O29" s="46"/>
      <c r="P29" s="46"/>
      <c r="Q29" s="17"/>
      <c r="R29" s="18"/>
      <c r="S29" s="49"/>
      <c r="U29" s="7"/>
      <c r="V29" s="7"/>
      <c r="W29" s="7"/>
      <c r="X29" s="7"/>
      <c r="Y29" s="7"/>
      <c r="Z29" s="7"/>
      <c r="AA29" s="7"/>
      <c r="AG29" s="80"/>
    </row>
    <row r="30" spans="1:33" s="23" customFormat="1" ht="15.95" customHeight="1" thickBot="1">
      <c r="A30" s="173" t="s">
        <v>19</v>
      </c>
      <c r="B30" s="174"/>
      <c r="C30" s="175"/>
      <c r="D30" s="81">
        <f>SUM(D4:D29)</f>
        <v>34</v>
      </c>
      <c r="E30" s="183" t="s">
        <v>63</v>
      </c>
      <c r="F30" s="184"/>
      <c r="G30" s="184"/>
      <c r="H30" s="82">
        <f>COUNT(E4:H29)-COUNTIF(E4:H29,0)</f>
        <v>0</v>
      </c>
      <c r="I30" s="176" t="str">
        <f>IF(COUNTIF(J4:J29,2)&lt;3,"Faktor 3x auf 2 setzen!",IF(COUNTIF(J4:J29,2)&gt;3,"Faktor nur 3x auf 2 setzen!",""))</f>
        <v>Faktor 3x auf 2 setzen!</v>
      </c>
      <c r="J30" s="177"/>
      <c r="K30" s="177"/>
      <c r="L30" s="83"/>
      <c r="M30" s="46">
        <v>751</v>
      </c>
      <c r="N30" s="47">
        <v>1.4</v>
      </c>
      <c r="O30" s="46" t="str">
        <f t="shared" si="0"/>
        <v/>
      </c>
      <c r="P30" s="46" t="str">
        <f t="shared" si="1"/>
        <v/>
      </c>
      <c r="Q30" s="84"/>
      <c r="R30" s="85"/>
      <c r="S30" s="86"/>
      <c r="U30" s="7"/>
      <c r="V30" s="7"/>
      <c r="W30" s="7"/>
      <c r="X30" s="7"/>
      <c r="Y30" s="7"/>
      <c r="Z30" s="7"/>
      <c r="AA30" s="7"/>
    </row>
    <row r="31" spans="1:33" ht="15.95" customHeight="1">
      <c r="A31" s="87"/>
      <c r="B31" s="48" t="str">
        <f>IF(OR(B20=B15,B21=B5,B24=B17,B26=B13,B26=B14,B29=B13,B29=B14),"Doppelbelegung!","")</f>
        <v/>
      </c>
      <c r="C31" s="137" t="str">
        <f>IF(D30&lt;34,"zu wenig Stunden/Semester","")</f>
        <v/>
      </c>
      <c r="D31" s="137"/>
      <c r="E31" s="137"/>
      <c r="F31" s="88"/>
      <c r="G31" s="179" t="str">
        <f>IF(H30&lt;32,"zu wenig Kurse!","")</f>
        <v>zu wenig Kurse!</v>
      </c>
      <c r="H31" s="179"/>
      <c r="I31" s="178"/>
      <c r="J31" s="178"/>
      <c r="K31" s="178"/>
      <c r="L31" s="89"/>
      <c r="M31" s="33">
        <v>769</v>
      </c>
      <c r="N31" s="37">
        <v>1.3</v>
      </c>
      <c r="O31" s="33" t="str">
        <f t="shared" si="0"/>
        <v/>
      </c>
      <c r="P31" s="33" t="str">
        <f t="shared" si="1"/>
        <v/>
      </c>
      <c r="Q31" s="82"/>
      <c r="R31" s="18" t="str">
        <f>IF(AND(COUNTBLANK(E17:H17)&gt;0,COUNTBLANK(E24:H24)&gt;0),"4 N. in künstl. Fach eintr.!",IF(OR(COUNTIF(E17:H17,0)&gt;0,COUNTIF(E24:H24,0)&gt;0),"0 Punkte  =&gt; nicht best.!",""))</f>
        <v>4 N. in künstl. Fach eintr.!</v>
      </c>
    </row>
    <row r="32" spans="1:33" ht="15.95" customHeight="1" thickBot="1">
      <c r="A32" s="87"/>
      <c r="B32" s="88"/>
      <c r="C32" s="17"/>
      <c r="D32" s="17"/>
      <c r="E32" s="17"/>
      <c r="F32" s="179" t="str">
        <f>IF(COUNTIF(E4:H29,"&gt;15")&gt;0,"Notenwert(e) zu hoch!",IF(COUNTIF(E4:H29,"&lt;5")&gt;(H30/5),"zu viele Unterkurse!",""))</f>
        <v/>
      </c>
      <c r="G32" s="180"/>
      <c r="H32" s="180"/>
      <c r="I32" s="91"/>
      <c r="J32" s="91"/>
      <c r="K32" s="91"/>
      <c r="L32" s="89"/>
      <c r="M32" s="33">
        <v>787</v>
      </c>
      <c r="N32" s="37">
        <v>1.2</v>
      </c>
      <c r="O32" s="33" t="str">
        <f t="shared" si="0"/>
        <v/>
      </c>
      <c r="P32" s="33" t="str">
        <f t="shared" si="1"/>
        <v/>
      </c>
      <c r="Q32" s="137"/>
      <c r="R32" s="138"/>
    </row>
    <row r="33" spans="1:18" ht="15.95" customHeight="1" thickBot="1">
      <c r="A33" s="1" t="s">
        <v>67</v>
      </c>
      <c r="B33" s="92"/>
      <c r="C33" s="92"/>
      <c r="D33" s="92"/>
      <c r="E33" s="88"/>
      <c r="F33" s="88"/>
      <c r="G33" s="88"/>
      <c r="H33" s="88"/>
      <c r="I33" s="89"/>
      <c r="J33" s="89"/>
      <c r="K33" s="89"/>
      <c r="L33" s="89"/>
      <c r="M33" s="33">
        <v>805</v>
      </c>
      <c r="N33" s="37">
        <v>1.1000000000000001</v>
      </c>
      <c r="O33" s="33" t="str">
        <f>IF(P34&lt;&gt;"","",IF($F$38&gt;=M33,N33,""))</f>
        <v/>
      </c>
      <c r="P33" s="33" t="str">
        <f>O33&amp;""&amp;P34</f>
        <v/>
      </c>
      <c r="Q33" s="82"/>
      <c r="R33" s="90"/>
    </row>
    <row r="34" spans="1:18" ht="15.95" customHeight="1" thickBot="1">
      <c r="A34" s="93"/>
      <c r="B34" s="92"/>
      <c r="C34" s="94" t="s">
        <v>4</v>
      </c>
      <c r="D34" s="94" t="s">
        <v>73</v>
      </c>
      <c r="E34" s="88"/>
      <c r="F34" s="181" t="s">
        <v>74</v>
      </c>
      <c r="G34" s="182"/>
      <c r="H34" s="88"/>
      <c r="I34" s="181" t="s">
        <v>76</v>
      </c>
      <c r="J34" s="182"/>
      <c r="K34" s="89"/>
      <c r="L34" s="89"/>
      <c r="M34" s="33">
        <v>823</v>
      </c>
      <c r="N34" s="34">
        <v>1</v>
      </c>
      <c r="O34" s="33" t="str">
        <f>IF($F$38&gt;=M34,N34,"")</f>
        <v/>
      </c>
      <c r="P34" s="33" t="str">
        <f>O34</f>
        <v/>
      </c>
      <c r="Q34" s="82"/>
      <c r="R34" s="90"/>
    </row>
    <row r="35" spans="1:18" ht="15.95" customHeight="1" thickBot="1">
      <c r="A35" s="93" t="s">
        <v>68</v>
      </c>
      <c r="B35" s="95" t="s">
        <v>72</v>
      </c>
      <c r="C35" s="96" t="s">
        <v>64</v>
      </c>
      <c r="D35" s="97"/>
      <c r="E35" s="88"/>
      <c r="F35" s="185">
        <f>5*SUM(D35:D38)</f>
        <v>0</v>
      </c>
      <c r="G35" s="186"/>
      <c r="H35" s="88"/>
      <c r="I35" s="185" t="str">
        <f>IF(SUM(K4:K29)=0,"0",ROUND(SUM(K4:K29)/SUM(L4:L29)*40,0))</f>
        <v>0</v>
      </c>
      <c r="J35" s="186"/>
      <c r="K35" s="89"/>
      <c r="L35" s="89"/>
      <c r="M35" s="33"/>
      <c r="N35" s="98"/>
      <c r="O35" s="33"/>
      <c r="P35" s="33" t="str">
        <f>P34&amp;""&amp;O35</f>
        <v/>
      </c>
      <c r="Q35" s="82"/>
      <c r="R35" s="18"/>
    </row>
    <row r="36" spans="1:18" ht="15.95" customHeight="1" thickBot="1">
      <c r="A36" s="93" t="s">
        <v>69</v>
      </c>
      <c r="B36" s="99"/>
      <c r="C36" s="96" t="s">
        <v>64</v>
      </c>
      <c r="D36" s="97"/>
      <c r="E36" s="88"/>
      <c r="F36" s="191" t="str">
        <f>IF(F35&lt;100,"nicht best. (&lt;100P.)","")</f>
        <v>nicht best. (&lt;100P.)</v>
      </c>
      <c r="G36" s="191"/>
      <c r="H36" s="88"/>
      <c r="I36" s="198" t="str">
        <f>IF(I35&lt;200,"nicht best. (&lt;200P.)","")</f>
        <v/>
      </c>
      <c r="J36" s="198"/>
      <c r="K36" s="89"/>
      <c r="L36" s="89"/>
      <c r="M36" s="33"/>
      <c r="N36" s="98"/>
      <c r="O36" s="33"/>
      <c r="P36" s="33"/>
      <c r="Q36" s="82"/>
      <c r="R36" s="18"/>
    </row>
    <row r="37" spans="1:18" ht="15.95" customHeight="1" thickBot="1">
      <c r="A37" s="93" t="s">
        <v>70</v>
      </c>
      <c r="B37" s="99"/>
      <c r="C37" s="100" t="s">
        <v>66</v>
      </c>
      <c r="D37" s="97"/>
      <c r="E37" s="88"/>
      <c r="F37" s="181" t="s">
        <v>78</v>
      </c>
      <c r="G37" s="182"/>
      <c r="H37" s="88"/>
      <c r="I37" s="192" t="s">
        <v>79</v>
      </c>
      <c r="J37" s="193"/>
      <c r="K37" s="89"/>
      <c r="L37" s="89"/>
      <c r="M37" s="89"/>
      <c r="N37" s="89"/>
      <c r="O37" s="89"/>
      <c r="P37" s="89"/>
      <c r="Q37" s="82"/>
      <c r="R37" s="18"/>
    </row>
    <row r="38" spans="1:18" ht="15.95" customHeight="1" thickBot="1">
      <c r="A38" s="93" t="s">
        <v>71</v>
      </c>
      <c r="B38" s="99"/>
      <c r="C38" s="100" t="s">
        <v>66</v>
      </c>
      <c r="D38" s="97"/>
      <c r="E38" s="88"/>
      <c r="F38" s="185">
        <f>F35+I35</f>
        <v>0</v>
      </c>
      <c r="G38" s="186"/>
      <c r="H38" s="88"/>
      <c r="I38" s="194" t="str">
        <f>IF(AND(A39="",A40="",A41="",A42="",A43="",B39="",B40="",B41="",B42="",B43="",C39="",C40="",F36="",I36="",G31="",I30="",Q3="",Q4="",Q5="",Q6="",Q7="",Q8="",Q9="",Q10="",Q11="",Q12="",Q13="",Q14="",Q15="",Q16="",Q17="",Q18="",Q19="",Q20="",Q21="",Q22="",Q23="",Q24="",Q25="",Q26="",Q27="",Q28="",Q30="",Q32="",R3="",R4="",R5="",R8="",R9="",R10="",R11="",R12="",R13="",R14="",R15="",R16="",R17="",R18="",R19="",R20="",R21="",R22="",R23="",R24="",R25="",R26="",R27="",R28="",R30="",R31=""),P4,"Fehler vorhanden")</f>
        <v>Fehler vorhanden</v>
      </c>
      <c r="J38" s="195"/>
      <c r="K38" s="89"/>
      <c r="L38" s="89"/>
      <c r="M38" s="89"/>
      <c r="N38" s="89"/>
      <c r="O38" s="89"/>
      <c r="P38" s="89"/>
      <c r="Q38" s="82"/>
      <c r="R38" s="18" t="str">
        <f>IF(COUNTIF(C35:C37,"EN")&lt;2,"mind. 2x EN wählen!","")</f>
        <v/>
      </c>
    </row>
    <row r="39" spans="1:18" ht="15.95" customHeight="1">
      <c r="A39" s="93"/>
      <c r="B39" s="101" t="str">
        <f>IF(COUNTIF(B35:B38,"Deutsch")+COUNTIF(B35:B38,"Mathematik")+COUNTIF(B35:B38,"Englisch")+COUNTIF(B35:B38,"Spanisch")+COUNTIF(B35:B38,"Französisch")+COUNTIF(B35:B38,"Latein")&lt;2,"2 Kernfächer wählen!",IF(OR(B35=B36,B35=B37,B35=B38,B36=B37,B36=B38,B37=B38),"versch. Fächer wählen!",""))</f>
        <v>2 Kernfächer wählen!</v>
      </c>
      <c r="C39" s="187" t="str">
        <f>IF(COUNTIF(D35:D38,"&lt;5")&gt;2,"nicht best. (3-4mal &lt; 5 P.)","")</f>
        <v/>
      </c>
      <c r="D39" s="188"/>
      <c r="E39" s="188"/>
      <c r="F39" s="189"/>
      <c r="G39" s="189"/>
      <c r="H39" s="88"/>
      <c r="I39" s="89"/>
      <c r="J39" s="89"/>
      <c r="K39" s="89"/>
      <c r="L39" s="89"/>
      <c r="M39" s="89"/>
      <c r="N39" s="89"/>
      <c r="O39" s="89"/>
      <c r="P39" s="89"/>
      <c r="Q39" s="82"/>
      <c r="R39" s="90"/>
    </row>
    <row r="40" spans="1:18" ht="15.95" customHeight="1">
      <c r="A40" s="104" t="str">
        <f>IF(COUNTIF(B$4:B$29,B35)=1,"","1. Prüfungsfach in Block 1 nicht belegt!")</f>
        <v>1. Prüfungsfach in Block 1 nicht belegt!</v>
      </c>
      <c r="B40" s="105" t="str">
        <f>IF(COUNTIF(B35:B38,"Deutsch")+COUNTIF(B35:B38,"Englisch")+COUNTIF(B35:B38,"Spanisch")+COUNTIF(B35:B38,"Französisch")+COUNTIF(B35:B38,"Latein")+COUNTIF(B35:B38,"Kunst")+COUNTIF(B35:B38,"Musik")+COUNTIF(B35:B38,DSP)=0,"1. Aufgabenfeld fehlt!","")</f>
        <v>1. Aufgabenfeld fehlt!</v>
      </c>
      <c r="C40" s="187" t="str">
        <f>IF(OR(D35&gt;45,D36&gt;4),"",IF(AND(C37="EN",D37&gt;4),"",IF(AND(C38="EN",D38&gt;4),"","nicht bestanden (EN &lt; 5 P.)")))</f>
        <v>nicht bestanden (EN &lt; 5 P.)</v>
      </c>
      <c r="D40" s="190"/>
      <c r="E40" s="190"/>
      <c r="F40" s="88"/>
      <c r="G40" s="88"/>
      <c r="H40" s="88"/>
      <c r="I40" s="89"/>
      <c r="J40" s="89"/>
      <c r="K40" s="89"/>
      <c r="L40" s="89"/>
      <c r="M40" s="89"/>
      <c r="N40" s="89"/>
      <c r="O40" s="89"/>
      <c r="P40" s="89"/>
      <c r="Q40" s="82"/>
      <c r="R40" s="90"/>
    </row>
    <row r="41" spans="1:18" ht="15.95" customHeight="1">
      <c r="A41" s="104" t="str">
        <f>IF(COUNTIF(B$4:B$29,B36)=1,"","2. Prüfungsfach in Block 1 nicht belegt!")</f>
        <v>2. Prüfungsfach in Block 1 nicht belegt!</v>
      </c>
      <c r="B41" s="105" t="str">
        <f>IF(COUNTIF(B35:B38,"PGW")+COUNTIF(B35:B38,"Geschichte")+COUNTIF(B35:B38,"Geographie")+COUNTIF(B35:B38,"Religion")+COUNTIF(B35:B38,"Philosophie")+COUNTIF(B35:B38,"Pädagogik")+COUNTIF(B35:B38,"Psychologie")=0,"2. Aufgabenfeld fehlt!","")</f>
        <v>2. Aufgabenfeld fehlt!</v>
      </c>
      <c r="C41" s="106"/>
      <c r="D41" s="106"/>
      <c r="E41" s="106"/>
      <c r="F41" s="88"/>
      <c r="G41" s="88"/>
      <c r="H41" s="88"/>
      <c r="I41" s="89"/>
      <c r="J41" s="89"/>
      <c r="K41" s="89"/>
      <c r="L41" s="89"/>
      <c r="M41" s="89"/>
      <c r="N41" s="89"/>
      <c r="O41" s="89"/>
      <c r="P41" s="89"/>
      <c r="Q41" s="82"/>
      <c r="R41" s="90"/>
    </row>
    <row r="42" spans="1:18" ht="15.95" customHeight="1">
      <c r="A42" s="104" t="str">
        <f>IF(COUNTIF(B$4:B$29,B37)=1,"","3. Prüfungsfach in Block 1 nicht belegt!")</f>
        <v>3. Prüfungsfach in Block 1 nicht belegt!</v>
      </c>
      <c r="B42" s="105" t="str">
        <f>IF(COUNTIF(B35:B38,"Mathematik")+COUNTIF(B35:B38,"Biologie")+COUNTIF(B35:B38,"Chemie")+COUNTIF(B35:B38,"Physik")+COUNTIF(B35:B38,"Informatik")=0,"3. Aufgabenfeld fehlt!","")</f>
        <v>3. Aufgabenfeld fehlt!</v>
      </c>
      <c r="C42" s="92"/>
      <c r="D42" s="92"/>
      <c r="E42" s="88"/>
      <c r="F42" s="88"/>
      <c r="G42" s="88"/>
      <c r="H42" s="88"/>
      <c r="I42" s="89"/>
      <c r="J42" s="89"/>
      <c r="K42" s="89"/>
      <c r="L42" s="89"/>
      <c r="M42" s="89"/>
      <c r="N42" s="89"/>
      <c r="O42" s="89"/>
      <c r="P42" s="89"/>
      <c r="Q42" s="82"/>
      <c r="R42" s="90"/>
    </row>
    <row r="43" spans="1:18" ht="15.95" customHeight="1" thickBot="1">
      <c r="A43" s="107" t="str">
        <f>IF(COUNTIF(B$4:B$29,B38)=1,"","4. Prüfungsfach in Block 1 nicht belegt!")</f>
        <v>4. Prüfungsfach in Block 1 nicht belegt!</v>
      </c>
      <c r="B43" s="108" t="str">
        <f>IF(COUNTIF(B35:B38,B8)=0,"profilgeb. Fach fehlt!","")</f>
        <v>profilgeb. Fach fehlt!</v>
      </c>
      <c r="C43" s="109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1"/>
      <c r="R43" s="112"/>
    </row>
  </sheetData>
  <mergeCells count="52">
    <mergeCell ref="C40:E40"/>
    <mergeCell ref="Q13:Q14"/>
    <mergeCell ref="B16:C16"/>
    <mergeCell ref="F38:G38"/>
    <mergeCell ref="I38:J38"/>
    <mergeCell ref="C39:E39"/>
    <mergeCell ref="F39:G39"/>
    <mergeCell ref="F21:F23"/>
    <mergeCell ref="G21:G23"/>
    <mergeCell ref="H21:H23"/>
    <mergeCell ref="B24:C24"/>
    <mergeCell ref="B25:C25"/>
    <mergeCell ref="B26:C26"/>
    <mergeCell ref="B27:C27"/>
    <mergeCell ref="B28:C28"/>
    <mergeCell ref="B29:C29"/>
    <mergeCell ref="F37:G37"/>
    <mergeCell ref="I37:J37"/>
    <mergeCell ref="I30:K31"/>
    <mergeCell ref="C31:E31"/>
    <mergeCell ref="G31:H31"/>
    <mergeCell ref="F32:H32"/>
    <mergeCell ref="F34:G34"/>
    <mergeCell ref="I34:J34"/>
    <mergeCell ref="A30:C30"/>
    <mergeCell ref="E30:G30"/>
    <mergeCell ref="F35:G35"/>
    <mergeCell ref="I35:J35"/>
    <mergeCell ref="F36:G36"/>
    <mergeCell ref="I36:J36"/>
    <mergeCell ref="A13:A14"/>
    <mergeCell ref="Q12:R12"/>
    <mergeCell ref="B17:C17"/>
    <mergeCell ref="B18:C18"/>
    <mergeCell ref="B19:C19"/>
    <mergeCell ref="A4:A6"/>
    <mergeCell ref="B7:C7"/>
    <mergeCell ref="Q7:R7"/>
    <mergeCell ref="B9:C9"/>
    <mergeCell ref="B10:C10"/>
    <mergeCell ref="Q32:R32"/>
    <mergeCell ref="C1:I1"/>
    <mergeCell ref="B15:C15"/>
    <mergeCell ref="Q2:R2"/>
    <mergeCell ref="O3:P3"/>
    <mergeCell ref="B11:C11"/>
    <mergeCell ref="B12:C12"/>
    <mergeCell ref="B13:C13"/>
    <mergeCell ref="B14:C14"/>
    <mergeCell ref="B20:C20"/>
    <mergeCell ref="B21:C23"/>
    <mergeCell ref="E21:E23"/>
  </mergeCells>
  <dataValidations count="19">
    <dataValidation type="list" allowBlank="1" showInputMessage="1" showErrorMessage="1" sqref="C37:C38">
      <formula1>$AE$3:$AE$4</formula1>
    </dataValidation>
    <dataValidation type="list" showInputMessage="1" showErrorMessage="1" sqref="B17:C17">
      <formula1>$Y$3:$Y$5</formula1>
    </dataValidation>
    <dataValidation type="list" allowBlank="1" showInputMessage="1" showErrorMessage="1" sqref="B29:C29">
      <formula1>$AD$3:$AD$5</formula1>
    </dataValidation>
    <dataValidation type="list" showInputMessage="1" showErrorMessage="1" sqref="B5">
      <formula1>T3:T6</formula1>
    </dataValidation>
    <dataValidation type="list" showInputMessage="1" showErrorMessage="1" sqref="B15:C15">
      <formula1>$V$3:$V$5</formula1>
    </dataValidation>
    <dataValidation type="list" showInputMessage="1" showErrorMessage="1" sqref="B16:C16">
      <formula1>$U$3:$U$4</formula1>
    </dataValidation>
    <dataValidation type="list" allowBlank="1" showInputMessage="1" showErrorMessage="1" sqref="B20:C20">
      <formula1>$V$4:$V$6</formula1>
    </dataValidation>
    <dataValidation type="list" allowBlank="1" showInputMessage="1" showErrorMessage="1" sqref="B25:C25">
      <formula1>$Z$3:$Z$6</formula1>
    </dataValidation>
    <dataValidation type="list" allowBlank="1" showInputMessage="1" showErrorMessage="1" sqref="B28:C28">
      <formula1>$AC$3:$AC$4</formula1>
    </dataValidation>
    <dataValidation type="list" allowBlank="1" showInputMessage="1" showErrorMessage="1" sqref="B27:C27">
      <formula1>$AA$4:$AA$5</formula1>
    </dataValidation>
    <dataValidation type="list" allowBlank="1" showInputMessage="1" showErrorMessage="1" sqref="B26:C26">
      <formula1>$AB$4:$AB$5</formula1>
    </dataValidation>
    <dataValidation type="list" allowBlank="1" showInputMessage="1" showErrorMessage="1" sqref="B24:C24">
      <formula1>$Y$3:$Y$6</formula1>
    </dataValidation>
    <dataValidation type="list" showInputMessage="1" showErrorMessage="1" sqref="B35">
      <formula1>$T$9:$T$14</formula1>
    </dataValidation>
    <dataValidation type="list" showInputMessage="1" showErrorMessage="1" sqref="C4:C6">
      <formula1>$AE$3:$AE$4</formula1>
    </dataValidation>
    <dataValidation type="list" showInputMessage="1" showErrorMessage="1" sqref="J4:J6 J15 J20:J21">
      <formula1>$AF$3:$AF$4</formula1>
    </dataValidation>
    <dataValidation type="list" showInputMessage="1" showErrorMessage="1" sqref="B13:C14">
      <formula1>$AD$2:$AD$4</formula1>
    </dataValidation>
    <dataValidation type="list" allowBlank="1" showInputMessage="1" showErrorMessage="1" sqref="B21:C23">
      <formula1>$W$3:$W$9</formula1>
    </dataValidation>
    <dataValidation type="list" showInputMessage="1" showErrorMessage="1" sqref="B36:B38">
      <formula1>$AG$3:$AG$21</formula1>
    </dataValidation>
    <dataValidation type="list" allowBlank="1" showInputMessage="1" showErrorMessage="1" sqref="J9">
      <formula1>$AF$3:$AF$4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43"/>
  <sheetViews>
    <sheetView workbookViewId="0"/>
  </sheetViews>
  <sheetFormatPr baseColWidth="10" defaultRowHeight="15.95" customHeight="1"/>
  <cols>
    <col min="1" max="1" width="47.140625" style="8" customWidth="1"/>
    <col min="2" max="2" width="20.5703125" style="8" customWidth="1"/>
    <col min="3" max="10" width="8.7109375" style="8" customWidth="1"/>
    <col min="11" max="16" width="8.7109375" style="8" hidden="1" customWidth="1"/>
    <col min="17" max="17" width="23" style="6" customWidth="1"/>
    <col min="18" max="18" width="22.7109375" style="6" customWidth="1"/>
    <col min="19" max="19" width="16" style="6" hidden="1" customWidth="1"/>
    <col min="20" max="21" width="10.42578125" style="7" hidden="1" customWidth="1"/>
    <col min="22" max="22" width="8.5703125" style="7" hidden="1" customWidth="1"/>
    <col min="23" max="23" width="12.140625" style="7" hidden="1" customWidth="1"/>
    <col min="24" max="24" width="11.42578125" style="7" hidden="1" customWidth="1"/>
    <col min="25" max="25" width="7.28515625" style="7" hidden="1" customWidth="1"/>
    <col min="26" max="26" width="9.28515625" style="7" hidden="1" customWidth="1"/>
    <col min="27" max="27" width="19.28515625" style="7" hidden="1" customWidth="1"/>
    <col min="28" max="30" width="11.42578125" style="8" hidden="1" customWidth="1"/>
    <col min="31" max="31" width="3.85546875" style="8" hidden="1" customWidth="1"/>
    <col min="32" max="32" width="3.42578125" style="8" hidden="1" customWidth="1"/>
    <col min="33" max="33" width="1" style="8" hidden="1" customWidth="1"/>
    <col min="34" max="34" width="11.42578125" style="8" hidden="1" customWidth="1"/>
    <col min="35" max="16384" width="11.42578125" style="8"/>
  </cols>
  <sheetData>
    <row r="1" spans="1:33" ht="15.95" customHeight="1" thickBot="1">
      <c r="A1" s="1" t="s">
        <v>82</v>
      </c>
      <c r="B1" s="123"/>
      <c r="C1" s="139" t="s">
        <v>87</v>
      </c>
      <c r="D1" s="139"/>
      <c r="E1" s="139"/>
      <c r="F1" s="139"/>
      <c r="G1" s="139"/>
      <c r="H1" s="139"/>
      <c r="I1" s="140"/>
      <c r="J1" s="123"/>
      <c r="K1" s="123"/>
      <c r="L1" s="123"/>
      <c r="M1" s="123"/>
      <c r="N1" s="123"/>
      <c r="O1" s="123"/>
      <c r="P1" s="123"/>
      <c r="Q1" s="4"/>
      <c r="R1" s="5"/>
    </row>
    <row r="2" spans="1:33" ht="15.95" customHeight="1" thickBot="1">
      <c r="A2" s="9"/>
      <c r="B2" s="10"/>
      <c r="C2" s="10"/>
      <c r="D2" s="10"/>
      <c r="E2" s="10"/>
      <c r="F2" s="10"/>
      <c r="G2" s="10"/>
      <c r="H2" s="10"/>
      <c r="Q2" s="143" t="str">
        <f>IF(I38="Fehler vorhanden","Fehlermeldungen","")</f>
        <v>Fehlermeldungen</v>
      </c>
      <c r="R2" s="144"/>
    </row>
    <row r="3" spans="1:33" s="23" customFormat="1" ht="15.95" customHeight="1" thickBot="1">
      <c r="A3" s="11" t="s">
        <v>3</v>
      </c>
      <c r="B3" s="122"/>
      <c r="C3" s="11" t="s">
        <v>4</v>
      </c>
      <c r="D3" s="13" t="s">
        <v>5</v>
      </c>
      <c r="E3" s="14" t="s">
        <v>59</v>
      </c>
      <c r="F3" s="11" t="s">
        <v>60</v>
      </c>
      <c r="G3" s="11" t="s">
        <v>61</v>
      </c>
      <c r="H3" s="135" t="s">
        <v>61</v>
      </c>
      <c r="I3" s="14" t="s">
        <v>0</v>
      </c>
      <c r="J3" s="11" t="s">
        <v>62</v>
      </c>
      <c r="K3" s="15" t="s">
        <v>75</v>
      </c>
      <c r="L3" s="15" t="s">
        <v>77</v>
      </c>
      <c r="M3" s="16" t="s">
        <v>1</v>
      </c>
      <c r="N3" s="16" t="s">
        <v>2</v>
      </c>
      <c r="O3" s="145" t="s">
        <v>80</v>
      </c>
      <c r="P3" s="145"/>
      <c r="Q3" s="117"/>
      <c r="R3" s="132" t="str">
        <f>IF(COUNTIF(C4:C6,"EN")&lt;2,"mind. 2x EN wählen!","")</f>
        <v>mind. 2x EN wählen!</v>
      </c>
      <c r="S3" s="19" t="s">
        <v>83</v>
      </c>
      <c r="T3" s="20" t="s">
        <v>20</v>
      </c>
      <c r="U3" s="7" t="s">
        <v>23</v>
      </c>
      <c r="V3" s="7" t="s">
        <v>25</v>
      </c>
      <c r="W3" s="20" t="s">
        <v>20</v>
      </c>
      <c r="X3" s="7" t="s">
        <v>30</v>
      </c>
      <c r="Y3" s="7" t="s">
        <v>33</v>
      </c>
      <c r="Z3" s="7" t="s">
        <v>35</v>
      </c>
      <c r="AA3" s="7" t="s">
        <v>32</v>
      </c>
      <c r="AB3" s="21" t="s">
        <v>9</v>
      </c>
      <c r="AC3" s="7" t="s">
        <v>39</v>
      </c>
      <c r="AD3" s="22" t="s">
        <v>9</v>
      </c>
      <c r="AE3" s="7" t="s">
        <v>64</v>
      </c>
      <c r="AF3" s="23">
        <v>1</v>
      </c>
      <c r="AG3" s="24" t="s">
        <v>6</v>
      </c>
    </row>
    <row r="4" spans="1:33" s="23" customFormat="1" ht="15.95" customHeight="1" thickBot="1">
      <c r="A4" s="156" t="s">
        <v>81</v>
      </c>
      <c r="B4" s="25" t="s">
        <v>6</v>
      </c>
      <c r="C4" s="26" t="s">
        <v>66</v>
      </c>
      <c r="D4" s="27">
        <v>4</v>
      </c>
      <c r="E4" s="118"/>
      <c r="F4" s="119"/>
      <c r="G4" s="119"/>
      <c r="H4" s="120"/>
      <c r="I4" s="31">
        <f>SUM(E4:H4)</f>
        <v>0</v>
      </c>
      <c r="J4" s="119">
        <f>IF(AND(C4="EN",OR(B4=B$35,B4=B$36,B4=B$37)),2,1)</f>
        <v>1</v>
      </c>
      <c r="K4" s="32">
        <f>IF(OR(J4=1,J4=2),I4*J4,"")</f>
        <v>0</v>
      </c>
      <c r="L4" s="32">
        <f>COUNT(E4:H4)*J4</f>
        <v>0</v>
      </c>
      <c r="M4" s="33">
        <v>300</v>
      </c>
      <c r="N4" s="34">
        <v>4</v>
      </c>
      <c r="O4" s="33" t="str">
        <f t="shared" ref="O4:O32" si="0">IF(P5&lt;&gt;"","",IF($F$38&gt;=M4,N4,""))</f>
        <v/>
      </c>
      <c r="P4" s="33" t="str">
        <f t="shared" ref="P4:P32" si="1">O4&amp;""&amp;P5</f>
        <v/>
      </c>
      <c r="Q4" s="117" t="str">
        <f>IF(COUNTBLANK(E4:H4)&gt;0,"Alle 4 Noten eintragen!",IF(COUNTIF(E4:H4,0)&gt;0,"0 Punkte  =&gt; nicht best.!",""))</f>
        <v>Alle 4 Noten eintragen!</v>
      </c>
      <c r="R4" s="132" t="str">
        <f>IF(C4="Niveau?","Niveau wählen!","")</f>
        <v>Niveau wählen!</v>
      </c>
      <c r="S4" s="35" t="str">
        <f>IF(J4=2,IF(AND(OR(B4=B$35,B4=B$36,B4=B$37),C4="EN"),"ja","nein"),"")</f>
        <v/>
      </c>
      <c r="T4" s="7" t="s">
        <v>21</v>
      </c>
      <c r="U4" s="7" t="s">
        <v>24</v>
      </c>
      <c r="V4" s="7" t="s">
        <v>26</v>
      </c>
      <c r="W4" s="7" t="s">
        <v>21</v>
      </c>
      <c r="X4" s="7" t="s">
        <v>31</v>
      </c>
      <c r="Y4" s="7" t="s">
        <v>49</v>
      </c>
      <c r="Z4" s="7" t="s">
        <v>36</v>
      </c>
      <c r="AA4" s="7" t="s">
        <v>38</v>
      </c>
      <c r="AB4" s="7" t="s">
        <v>41</v>
      </c>
      <c r="AC4" s="7" t="s">
        <v>42</v>
      </c>
      <c r="AD4" s="22" t="s">
        <v>42</v>
      </c>
      <c r="AE4" s="7" t="s">
        <v>65</v>
      </c>
      <c r="AF4" s="23">
        <v>2</v>
      </c>
      <c r="AG4" s="7" t="s">
        <v>7</v>
      </c>
    </row>
    <row r="5" spans="1:33" s="23" customFormat="1" ht="15.95" customHeight="1" thickBot="1">
      <c r="A5" s="157"/>
      <c r="B5" s="126" t="s">
        <v>84</v>
      </c>
      <c r="C5" s="26" t="s">
        <v>66</v>
      </c>
      <c r="D5" s="27">
        <v>4</v>
      </c>
      <c r="E5" s="118"/>
      <c r="F5" s="119"/>
      <c r="G5" s="119"/>
      <c r="H5" s="120"/>
      <c r="I5" s="31">
        <f>SUM(E5:H5)</f>
        <v>0</v>
      </c>
      <c r="J5" s="119">
        <f>IF(AND(C5="EN",OR(B5=B$35,B5=B$36,B5=B$37)),2,1)</f>
        <v>1</v>
      </c>
      <c r="K5" s="32">
        <f>IF(OR(J5=1,J5=2),I5*J5,"")</f>
        <v>0</v>
      </c>
      <c r="L5" s="32">
        <f>COUNT(E5:H5)*J5</f>
        <v>0</v>
      </c>
      <c r="M5" s="33">
        <v>301</v>
      </c>
      <c r="N5" s="37">
        <v>3.9</v>
      </c>
      <c r="O5" s="33" t="str">
        <f t="shared" si="0"/>
        <v/>
      </c>
      <c r="P5" s="33" t="str">
        <f t="shared" si="1"/>
        <v/>
      </c>
      <c r="Q5" s="117" t="str">
        <f>IF(COUNTBLANK(E5:H5)&gt;0,"Alle 4 Noten eintragen!",IF(COUNTIF(E5:H5,0)&gt;0,"0 Punkte  =&gt; nicht best.!",""))</f>
        <v>Alle 4 Noten eintragen!</v>
      </c>
      <c r="R5" s="132" t="str">
        <f>IF(C5="Niveau?","Niveau wählen!","")</f>
        <v>Niveau wählen!</v>
      </c>
      <c r="S5" s="35" t="str">
        <f t="shared" ref="S5:S6" si="2">IF(J5=2,IF(AND(OR(B5=B$35,B5=B$36,B5=B$37),C5="EN"),"ja","nein"),"")</f>
        <v/>
      </c>
      <c r="T5" s="24" t="s">
        <v>28</v>
      </c>
      <c r="U5" s="7"/>
      <c r="V5" s="7" t="s">
        <v>42</v>
      </c>
      <c r="W5" s="24" t="s">
        <v>28</v>
      </c>
      <c r="X5" s="7" t="s">
        <v>32</v>
      </c>
      <c r="Y5" s="7" t="s">
        <v>34</v>
      </c>
      <c r="Z5" s="7" t="s">
        <v>37</v>
      </c>
      <c r="AA5" s="7" t="s">
        <v>42</v>
      </c>
      <c r="AB5" s="7" t="s">
        <v>42</v>
      </c>
      <c r="AG5" s="20" t="s">
        <v>20</v>
      </c>
    </row>
    <row r="6" spans="1:33" s="23" customFormat="1" ht="15.95" customHeight="1" thickBot="1">
      <c r="A6" s="158"/>
      <c r="B6" s="25" t="s">
        <v>7</v>
      </c>
      <c r="C6" s="26" t="s">
        <v>66</v>
      </c>
      <c r="D6" s="27">
        <v>4</v>
      </c>
      <c r="E6" s="118"/>
      <c r="F6" s="119"/>
      <c r="G6" s="119"/>
      <c r="H6" s="120"/>
      <c r="I6" s="31">
        <f>SUM(E6:H6)</f>
        <v>0</v>
      </c>
      <c r="J6" s="119">
        <f>IF(AND(C6="EN",OR(B6=B$35,B6=B$36,B6=B$37)),2,1)</f>
        <v>1</v>
      </c>
      <c r="K6" s="32">
        <f>IF(OR(J6=1,J6=2),I6*J6,"")</f>
        <v>0</v>
      </c>
      <c r="L6" s="32">
        <f>COUNT(E6:H6)*J6</f>
        <v>0</v>
      </c>
      <c r="M6" s="33">
        <v>319</v>
      </c>
      <c r="N6" s="37">
        <v>3.8</v>
      </c>
      <c r="O6" s="33" t="str">
        <f t="shared" si="0"/>
        <v/>
      </c>
      <c r="P6" s="33" t="str">
        <f t="shared" si="1"/>
        <v/>
      </c>
      <c r="Q6" s="117" t="str">
        <f>IF(COUNTBLANK(E6:H6)&gt;0,"Alle 4 Noten eintragen!",IF(COUNTIF(E6:H6,0)&gt;0,"0 Punkte  =&gt; nicht best.!",""))</f>
        <v>Alle 4 Noten eintragen!</v>
      </c>
      <c r="R6" s="132" t="str">
        <f>IF(C6="Niveau?","Niveau wählen!","")</f>
        <v>Niveau wählen!</v>
      </c>
      <c r="S6" s="35" t="str">
        <f t="shared" si="2"/>
        <v/>
      </c>
      <c r="T6" s="7" t="s">
        <v>22</v>
      </c>
      <c r="U6" s="7"/>
      <c r="W6" s="7" t="s">
        <v>22</v>
      </c>
      <c r="X6" s="7" t="s">
        <v>42</v>
      </c>
      <c r="Y6" s="7" t="s">
        <v>42</v>
      </c>
      <c r="Z6" s="7" t="s">
        <v>42</v>
      </c>
      <c r="AA6" s="7"/>
      <c r="AG6" s="7" t="s">
        <v>21</v>
      </c>
    </row>
    <row r="7" spans="1:33" s="23" customFormat="1" ht="15.95" customHeight="1" thickBot="1">
      <c r="A7" s="38" t="s">
        <v>8</v>
      </c>
      <c r="B7" s="148"/>
      <c r="C7" s="149"/>
      <c r="D7" s="40"/>
      <c r="E7" s="41"/>
      <c r="F7" s="42"/>
      <c r="G7" s="42"/>
      <c r="H7" s="43"/>
      <c r="I7" s="44"/>
      <c r="J7" s="42"/>
      <c r="K7" s="45"/>
      <c r="L7" s="45"/>
      <c r="M7" s="46">
        <v>337</v>
      </c>
      <c r="N7" s="47">
        <v>3.7</v>
      </c>
      <c r="O7" s="46" t="str">
        <f t="shared" si="0"/>
        <v/>
      </c>
      <c r="P7" s="46" t="str">
        <f t="shared" si="1"/>
        <v/>
      </c>
      <c r="Q7" s="137" t="str">
        <f>IF(COUNTIF(J4:J6,2)=0,"Faktor e. EN-Kern- u. schr. Pr.fachs muss 2 sein!",IF(AND(COUNTIF(J4:J6,2)=1,S7=1),"Faktor e. EN-Kern u. schr. Pr.fachs muss 2 sein!",IF(AND(COUNTIF(J4:J6,2)=2,S7=2),"Faktor e. EN-Kern u. schr. Pr.fachs muss 2 sein!",IF(AND(COUNTIF(J4:J6,2)=3,S7=3),"Faktor e. EN-Kern u. schr. Pr.fachs muss 2 sein!",""))))</f>
        <v>Faktor e. EN-Kern- u. schr. Pr.fachs muss 2 sein!</v>
      </c>
      <c r="R7" s="159"/>
      <c r="S7" s="49">
        <f>COUNTIF(S4:S6,"nein")</f>
        <v>0</v>
      </c>
      <c r="T7" s="24"/>
      <c r="U7" s="7"/>
      <c r="V7" s="7"/>
      <c r="W7" s="7" t="s">
        <v>29</v>
      </c>
      <c r="X7" s="7"/>
      <c r="Y7" s="7"/>
      <c r="Z7" s="7"/>
      <c r="AA7" s="7"/>
      <c r="AG7" s="24" t="s">
        <v>28</v>
      </c>
    </row>
    <row r="8" spans="1:33" s="23" customFormat="1" ht="15.95" customHeight="1" thickBot="1">
      <c r="A8" s="125" t="s">
        <v>44</v>
      </c>
      <c r="B8" s="121" t="s">
        <v>27</v>
      </c>
      <c r="C8" s="52" t="s">
        <v>64</v>
      </c>
      <c r="D8" s="27">
        <v>4</v>
      </c>
      <c r="E8" s="118"/>
      <c r="F8" s="119"/>
      <c r="G8" s="119"/>
      <c r="H8" s="120"/>
      <c r="I8" s="31">
        <f>SUM(E8:H8)</f>
        <v>0</v>
      </c>
      <c r="J8" s="52">
        <v>2</v>
      </c>
      <c r="K8" s="45">
        <f>IF(OR(J8=1,J8=2),I8*J8,"")</f>
        <v>0</v>
      </c>
      <c r="L8" s="45">
        <f>COUNT(E8:H8)*J8</f>
        <v>0</v>
      </c>
      <c r="M8" s="46">
        <v>355</v>
      </c>
      <c r="N8" s="47">
        <v>3.6</v>
      </c>
      <c r="O8" s="46" t="str">
        <f t="shared" si="0"/>
        <v/>
      </c>
      <c r="P8" s="46" t="str">
        <f t="shared" si="1"/>
        <v/>
      </c>
      <c r="Q8" s="117" t="str">
        <f>IF(COUNTBLANK(E8:H8)&gt;0,"Alle 4 Noten eintragen!","")</f>
        <v>Alle 4 Noten eintragen!</v>
      </c>
      <c r="R8" s="132" t="str">
        <f>IF(OR(B8=B$36,B8=B$37,B8=B$38),IF(COUNTIF(E8:H8,0)&gt;0,"0 Punkte  =&gt; nicht best.!",""),"")</f>
        <v/>
      </c>
      <c r="S8" s="49"/>
      <c r="T8" s="24"/>
      <c r="U8" s="7"/>
      <c r="V8" s="7"/>
      <c r="W8" s="7" t="s">
        <v>30</v>
      </c>
      <c r="X8" s="7"/>
      <c r="Y8" s="7"/>
      <c r="Z8" s="7"/>
      <c r="AA8" s="7"/>
      <c r="AG8" s="7" t="s">
        <v>22</v>
      </c>
    </row>
    <row r="9" spans="1:33" s="23" customFormat="1" ht="15.95" customHeight="1" thickBot="1">
      <c r="A9" s="125" t="s">
        <v>45</v>
      </c>
      <c r="B9" s="146" t="s">
        <v>11</v>
      </c>
      <c r="C9" s="147"/>
      <c r="D9" s="27">
        <v>4</v>
      </c>
      <c r="E9" s="118"/>
      <c r="F9" s="119"/>
      <c r="G9" s="119"/>
      <c r="H9" s="120"/>
      <c r="I9" s="31">
        <f>SUM(E9:H9)</f>
        <v>0</v>
      </c>
      <c r="J9" s="113">
        <f>IF(OR(D9=2,D9=4),1,"")</f>
        <v>1</v>
      </c>
      <c r="K9" s="45">
        <f>IF(OR(J9=1,J9=2),I9*J9,"")</f>
        <v>0</v>
      </c>
      <c r="L9" s="45">
        <f>COUNT(E9:H9)*J9</f>
        <v>0</v>
      </c>
      <c r="M9" s="46">
        <v>373</v>
      </c>
      <c r="N9" s="47">
        <v>3.5</v>
      </c>
      <c r="O9" s="46" t="str">
        <f t="shared" si="0"/>
        <v/>
      </c>
      <c r="P9" s="46" t="str">
        <f t="shared" si="1"/>
        <v/>
      </c>
      <c r="Q9" s="117" t="str">
        <f t="shared" ref="Q9:Q29" si="3">IF(OR(B9=B$36,B9=B$37,B9=B$38),IF(COUNTBLANK(E9:H9)&gt;0,"Alle 4 Noten eintragen!",""),"")</f>
        <v/>
      </c>
      <c r="R9" s="132" t="str">
        <f t="shared" ref="R9:R18" si="4">IF(OR(B9=B$36,B9=B$37,B9=B$38),IF(COUNTIF(E9:H9,0)&gt;0,"0 Punkte  =&gt; nicht best.!",""),"")</f>
        <v/>
      </c>
      <c r="S9" s="49"/>
      <c r="T9" s="24" t="s">
        <v>6</v>
      </c>
      <c r="U9" s="7"/>
      <c r="V9" s="7"/>
      <c r="W9" s="7" t="s">
        <v>31</v>
      </c>
      <c r="X9" s="7"/>
      <c r="Y9" s="7"/>
      <c r="Z9" s="7"/>
      <c r="AA9" s="7"/>
      <c r="AG9" s="7" t="s">
        <v>25</v>
      </c>
    </row>
    <row r="10" spans="1:33" s="23" customFormat="1" ht="15.95" hidden="1" customHeight="1" thickBot="1">
      <c r="A10" s="125"/>
      <c r="B10" s="146"/>
      <c r="C10" s="147"/>
      <c r="D10" s="27"/>
      <c r="E10" s="118"/>
      <c r="F10" s="119"/>
      <c r="G10" s="119"/>
      <c r="H10" s="120"/>
      <c r="I10" s="31"/>
      <c r="J10" s="52"/>
      <c r="K10" s="45"/>
      <c r="L10" s="45"/>
      <c r="M10" s="46"/>
      <c r="N10" s="47"/>
      <c r="O10" s="46"/>
      <c r="P10" s="46"/>
      <c r="Q10" s="117"/>
      <c r="R10" s="132"/>
      <c r="S10" s="49"/>
      <c r="T10" s="7" t="s">
        <v>7</v>
      </c>
      <c r="U10" s="7"/>
      <c r="V10" s="7"/>
      <c r="W10" s="7" t="s">
        <v>32</v>
      </c>
      <c r="X10" s="7"/>
      <c r="Y10" s="7"/>
      <c r="Z10" s="7"/>
      <c r="AA10" s="7"/>
      <c r="AG10" s="7" t="s">
        <v>26</v>
      </c>
    </row>
    <row r="11" spans="1:33" s="23" customFormat="1" ht="15.95" customHeight="1" thickBot="1">
      <c r="A11" s="125" t="s">
        <v>12</v>
      </c>
      <c r="B11" s="146" t="s">
        <v>12</v>
      </c>
      <c r="C11" s="147"/>
      <c r="D11" s="27">
        <v>2</v>
      </c>
      <c r="E11" s="118"/>
      <c r="F11" s="119"/>
      <c r="G11" s="119"/>
      <c r="H11" s="120"/>
      <c r="I11" s="31">
        <f>IF(D11="","",SUM(E11:H11))</f>
        <v>0</v>
      </c>
      <c r="J11" s="52">
        <f>IF(D11=2,1,"")</f>
        <v>1</v>
      </c>
      <c r="K11" s="45">
        <f>IF(OR(J11=1,J11=2),I11*J11,"")</f>
        <v>0</v>
      </c>
      <c r="L11" s="45">
        <f>COUNT(E11:H11)*J11</f>
        <v>0</v>
      </c>
      <c r="M11" s="46">
        <v>409</v>
      </c>
      <c r="N11" s="47">
        <v>3.3</v>
      </c>
      <c r="O11" s="46" t="str">
        <f t="shared" si="0"/>
        <v/>
      </c>
      <c r="P11" s="46" t="str">
        <f t="shared" si="1"/>
        <v/>
      </c>
      <c r="Q11" s="117" t="str">
        <f t="shared" si="3"/>
        <v/>
      </c>
      <c r="R11" s="132" t="str">
        <f t="shared" si="4"/>
        <v/>
      </c>
      <c r="S11" s="49"/>
      <c r="T11" s="20" t="s">
        <v>20</v>
      </c>
      <c r="U11" s="7"/>
      <c r="V11" s="7"/>
      <c r="W11" s="7" t="s">
        <v>42</v>
      </c>
      <c r="X11" s="7"/>
      <c r="Y11" s="7"/>
      <c r="Z11" s="7"/>
      <c r="AA11" s="7"/>
      <c r="AG11" s="7" t="s">
        <v>27</v>
      </c>
    </row>
    <row r="12" spans="1:33" s="23" customFormat="1" ht="15.95" customHeight="1" thickBot="1">
      <c r="A12" s="38" t="s">
        <v>13</v>
      </c>
      <c r="B12" s="148"/>
      <c r="C12" s="149"/>
      <c r="D12" s="40"/>
      <c r="E12" s="41"/>
      <c r="F12" s="42"/>
      <c r="G12" s="42"/>
      <c r="H12" s="43"/>
      <c r="I12" s="44"/>
      <c r="J12" s="42"/>
      <c r="K12" s="45"/>
      <c r="L12" s="45"/>
      <c r="M12" s="46">
        <v>427</v>
      </c>
      <c r="N12" s="47">
        <v>3.2</v>
      </c>
      <c r="O12" s="46" t="str">
        <f t="shared" si="0"/>
        <v/>
      </c>
      <c r="P12" s="46" t="str">
        <f t="shared" si="1"/>
        <v/>
      </c>
      <c r="Q12" s="137"/>
      <c r="R12" s="154"/>
      <c r="S12" s="49"/>
      <c r="T12" s="7" t="s">
        <v>21</v>
      </c>
      <c r="U12" s="7"/>
      <c r="V12" s="7"/>
      <c r="W12" s="7"/>
      <c r="X12" s="7"/>
      <c r="Y12" s="7"/>
      <c r="Z12" s="7"/>
      <c r="AA12" s="7"/>
      <c r="AG12" s="21" t="s">
        <v>9</v>
      </c>
    </row>
    <row r="13" spans="1:33" s="60" customFormat="1" ht="15.95" hidden="1" customHeight="1" thickBot="1">
      <c r="A13" s="54"/>
      <c r="B13" s="150"/>
      <c r="C13" s="151"/>
      <c r="D13" s="55"/>
      <c r="E13" s="56"/>
      <c r="F13" s="57"/>
      <c r="G13" s="57"/>
      <c r="H13" s="58"/>
      <c r="I13" s="31"/>
      <c r="J13" s="52"/>
      <c r="K13" s="45"/>
      <c r="L13" s="45"/>
      <c r="M13" s="46"/>
      <c r="N13" s="47"/>
      <c r="O13" s="46"/>
      <c r="P13" s="46"/>
      <c r="Q13" s="117"/>
      <c r="R13" s="132"/>
      <c r="S13" s="59"/>
      <c r="T13" s="24" t="s">
        <v>28</v>
      </c>
      <c r="U13" s="7"/>
      <c r="V13" s="7"/>
      <c r="W13" s="7"/>
      <c r="X13" s="7"/>
      <c r="Y13" s="7"/>
      <c r="Z13" s="7"/>
      <c r="AA13" s="7"/>
      <c r="AG13" s="7" t="s">
        <v>41</v>
      </c>
    </row>
    <row r="14" spans="1:33" s="60" customFormat="1" ht="15.95" hidden="1" customHeight="1" thickBot="1">
      <c r="A14" s="61"/>
      <c r="B14" s="152"/>
      <c r="C14" s="153"/>
      <c r="D14" s="63"/>
      <c r="E14" s="56"/>
      <c r="F14" s="57"/>
      <c r="G14" s="57"/>
      <c r="H14" s="58"/>
      <c r="I14" s="31"/>
      <c r="J14" s="52"/>
      <c r="K14" s="45"/>
      <c r="L14" s="45"/>
      <c r="M14" s="46"/>
      <c r="N14" s="64"/>
      <c r="O14" s="46"/>
      <c r="P14" s="46"/>
      <c r="Q14" s="117"/>
      <c r="R14" s="132"/>
      <c r="S14" s="59"/>
      <c r="T14" s="7" t="s">
        <v>22</v>
      </c>
      <c r="U14" s="7"/>
      <c r="V14" s="7"/>
      <c r="W14" s="7"/>
      <c r="X14" s="7"/>
      <c r="Y14" s="7"/>
      <c r="Z14" s="7"/>
      <c r="AA14" s="7"/>
      <c r="AG14" s="22" t="s">
        <v>11</v>
      </c>
    </row>
    <row r="15" spans="1:33" s="23" customFormat="1" ht="15.95" hidden="1" customHeight="1" thickBot="1">
      <c r="A15" s="125"/>
      <c r="B15" s="141"/>
      <c r="C15" s="142"/>
      <c r="D15" s="27"/>
      <c r="E15" s="118"/>
      <c r="F15" s="119"/>
      <c r="G15" s="119"/>
      <c r="H15" s="120"/>
      <c r="I15" s="31"/>
      <c r="J15" s="119"/>
      <c r="K15" s="45"/>
      <c r="L15" s="45"/>
      <c r="M15" s="46"/>
      <c r="N15" s="47"/>
      <c r="O15" s="46"/>
      <c r="P15" s="46"/>
      <c r="Q15" s="117"/>
      <c r="R15" s="132" t="str">
        <f t="shared" si="4"/>
        <v/>
      </c>
      <c r="S15" s="49"/>
      <c r="U15" s="7"/>
      <c r="V15" s="7"/>
      <c r="W15" s="7"/>
      <c r="X15" s="7"/>
      <c r="Y15" s="7"/>
      <c r="Z15" s="7"/>
      <c r="AA15" s="7"/>
      <c r="AG15" s="7" t="s">
        <v>23</v>
      </c>
    </row>
    <row r="16" spans="1:33" s="23" customFormat="1" ht="15.95" customHeight="1" thickBot="1">
      <c r="A16" s="125" t="s">
        <v>48</v>
      </c>
      <c r="B16" s="141" t="s">
        <v>23</v>
      </c>
      <c r="C16" s="142"/>
      <c r="D16" s="27">
        <v>2</v>
      </c>
      <c r="E16" s="118"/>
      <c r="F16" s="119"/>
      <c r="G16" s="119"/>
      <c r="H16" s="120"/>
      <c r="I16" s="31">
        <f t="shared" ref="I16:I18" si="5">IF(D16="","",SUM(E16:H16))</f>
        <v>0</v>
      </c>
      <c r="J16" s="52">
        <f>IF(D16=2,1,"")</f>
        <v>1</v>
      </c>
      <c r="K16" s="45">
        <f t="shared" ref="K16:K18" si="6">IF(OR(J16=1,J16=2),I16*J16,"")</f>
        <v>0</v>
      </c>
      <c r="L16" s="45" t="str">
        <f t="shared" ref="L16:L18" si="7">IF(COUNT(E16:H16)=0,"",COUNT(E16:H16)*J16)</f>
        <v/>
      </c>
      <c r="M16" s="46">
        <v>499</v>
      </c>
      <c r="N16" s="47">
        <v>2.8</v>
      </c>
      <c r="O16" s="46" t="str">
        <f t="shared" si="0"/>
        <v/>
      </c>
      <c r="P16" s="46" t="str">
        <f t="shared" si="1"/>
        <v/>
      </c>
      <c r="Q16" s="117" t="str">
        <f t="shared" si="3"/>
        <v/>
      </c>
      <c r="R16" s="132" t="str">
        <f t="shared" si="4"/>
        <v/>
      </c>
      <c r="S16" s="49"/>
      <c r="T16" s="7"/>
      <c r="U16" s="7"/>
      <c r="V16" s="7"/>
      <c r="W16" s="7"/>
      <c r="X16" s="7"/>
      <c r="Y16" s="7"/>
      <c r="Z16" s="7"/>
      <c r="AA16" s="7"/>
      <c r="AG16" s="7" t="s">
        <v>24</v>
      </c>
    </row>
    <row r="17" spans="1:33" s="23" customFormat="1" ht="15.95" customHeight="1" thickBot="1">
      <c r="A17" s="125" t="s">
        <v>46</v>
      </c>
      <c r="B17" s="141" t="s">
        <v>33</v>
      </c>
      <c r="C17" s="142"/>
      <c r="D17" s="27">
        <v>2</v>
      </c>
      <c r="E17" s="118"/>
      <c r="F17" s="119"/>
      <c r="G17" s="119"/>
      <c r="H17" s="120"/>
      <c r="I17" s="31">
        <f t="shared" si="5"/>
        <v>0</v>
      </c>
      <c r="J17" s="52">
        <f>IF(D17=2,1,"")</f>
        <v>1</v>
      </c>
      <c r="K17" s="45">
        <f t="shared" si="6"/>
        <v>0</v>
      </c>
      <c r="L17" s="45" t="str">
        <f t="shared" si="7"/>
        <v/>
      </c>
      <c r="M17" s="46">
        <v>517</v>
      </c>
      <c r="N17" s="47">
        <v>2.7</v>
      </c>
      <c r="O17" s="46" t="str">
        <f t="shared" si="0"/>
        <v/>
      </c>
      <c r="P17" s="46" t="str">
        <f t="shared" si="1"/>
        <v/>
      </c>
      <c r="Q17" s="117" t="str">
        <f t="shared" si="3"/>
        <v/>
      </c>
      <c r="R17" s="132" t="str">
        <f t="shared" si="4"/>
        <v/>
      </c>
      <c r="S17" s="49"/>
      <c r="U17" s="7"/>
      <c r="V17" s="7"/>
      <c r="W17" s="7"/>
      <c r="X17" s="7"/>
      <c r="Y17" s="7"/>
      <c r="Z17" s="7"/>
      <c r="AA17" s="7"/>
      <c r="AG17" s="7" t="s">
        <v>33</v>
      </c>
    </row>
    <row r="18" spans="1:33" s="23" customFormat="1" ht="15.95" customHeight="1" thickBot="1">
      <c r="A18" s="125" t="s">
        <v>14</v>
      </c>
      <c r="B18" s="146" t="s">
        <v>14</v>
      </c>
      <c r="C18" s="155"/>
      <c r="D18" s="27">
        <v>2</v>
      </c>
      <c r="E18" s="118"/>
      <c r="F18" s="119"/>
      <c r="G18" s="119"/>
      <c r="H18" s="120"/>
      <c r="I18" s="31">
        <f t="shared" si="5"/>
        <v>0</v>
      </c>
      <c r="J18" s="52">
        <f>IF(D18=2,1,"")</f>
        <v>1</v>
      </c>
      <c r="K18" s="45">
        <f t="shared" si="6"/>
        <v>0</v>
      </c>
      <c r="L18" s="45" t="str">
        <f t="shared" si="7"/>
        <v/>
      </c>
      <c r="M18" s="46">
        <v>535</v>
      </c>
      <c r="N18" s="47">
        <v>2.6</v>
      </c>
      <c r="O18" s="46" t="str">
        <f t="shared" si="0"/>
        <v/>
      </c>
      <c r="P18" s="46" t="str">
        <f t="shared" si="1"/>
        <v/>
      </c>
      <c r="Q18" s="117" t="str">
        <f t="shared" si="3"/>
        <v/>
      </c>
      <c r="R18" s="132" t="str">
        <f t="shared" si="4"/>
        <v/>
      </c>
      <c r="S18" s="49"/>
      <c r="U18" s="7"/>
      <c r="V18" s="7"/>
      <c r="W18" s="7"/>
      <c r="X18" s="7"/>
      <c r="Y18" s="7"/>
      <c r="Z18" s="7"/>
      <c r="AA18" s="7"/>
      <c r="AG18" s="7" t="s">
        <v>49</v>
      </c>
    </row>
    <row r="19" spans="1:33" s="23" customFormat="1" ht="15.95" customHeight="1" thickBot="1">
      <c r="A19" s="38" t="s">
        <v>15</v>
      </c>
      <c r="B19" s="148"/>
      <c r="C19" s="149"/>
      <c r="D19" s="40"/>
      <c r="E19" s="41"/>
      <c r="F19" s="42"/>
      <c r="G19" s="42"/>
      <c r="H19" s="43"/>
      <c r="I19" s="44"/>
      <c r="J19" s="42"/>
      <c r="K19" s="45"/>
      <c r="L19" s="45"/>
      <c r="M19" s="46">
        <v>553</v>
      </c>
      <c r="N19" s="47">
        <v>2.5</v>
      </c>
      <c r="O19" s="46" t="str">
        <f t="shared" si="0"/>
        <v/>
      </c>
      <c r="P19" s="46" t="str">
        <f t="shared" si="1"/>
        <v/>
      </c>
      <c r="Q19" s="117" t="str">
        <f>IF(OR(B13="Auswahlliste!",B14="Auswahlliste!",B15="Auswahlliste!",B16="Auswahlliste!",B17="Auswahlliste!"),"Wahlpfl.fächer wählen!","")</f>
        <v/>
      </c>
      <c r="R19" s="132"/>
      <c r="S19" s="49"/>
      <c r="U19" s="7"/>
      <c r="V19" s="7"/>
      <c r="W19" s="7"/>
      <c r="X19" s="7"/>
      <c r="Y19" s="7"/>
      <c r="Z19" s="7"/>
      <c r="AA19" s="7"/>
      <c r="AG19" s="7" t="s">
        <v>34</v>
      </c>
    </row>
    <row r="20" spans="1:33" s="23" customFormat="1" ht="15.95" customHeight="1" thickBot="1">
      <c r="A20" s="125" t="s">
        <v>94</v>
      </c>
      <c r="B20" s="141" t="s">
        <v>42</v>
      </c>
      <c r="C20" s="142"/>
      <c r="D20" s="27" t="str">
        <f>IF(OR(B20=V3,B20=V4),4,"")</f>
        <v/>
      </c>
      <c r="E20" s="118"/>
      <c r="F20" s="119"/>
      <c r="G20" s="119"/>
      <c r="H20" s="120"/>
      <c r="I20" s="31" t="str">
        <f>IF(D20="","",SUM(E20:H20))</f>
        <v/>
      </c>
      <c r="J20" s="119" t="str">
        <f>IF(D20=4,1,"")</f>
        <v/>
      </c>
      <c r="K20" s="45" t="str">
        <f t="shared" ref="K20:K29" si="8">IF(OR(J20=1,J20=2),I20*J20,"")</f>
        <v/>
      </c>
      <c r="L20" s="45" t="str">
        <f t="shared" ref="L20:L29" si="9">IF(COUNT(E20:H20)=0,"",COUNT(E20:H20)*J20)</f>
        <v/>
      </c>
      <c r="M20" s="46">
        <v>571</v>
      </c>
      <c r="N20" s="47">
        <v>2.4</v>
      </c>
      <c r="O20" s="46" t="str">
        <f t="shared" si="0"/>
        <v/>
      </c>
      <c r="P20" s="46" t="str">
        <f t="shared" si="1"/>
        <v/>
      </c>
      <c r="Q20" s="117" t="str">
        <f>IF(OR(B20=B$36,B20=B$37,B20=B$38),IF(COUNTBLANK(E20:H20)&gt;0,"Alle 4 Noten eintragen!",""),"")</f>
        <v/>
      </c>
      <c r="R20" s="132" t="str">
        <f>IF(AND(COUNTBLANK(E20:H20)&lt;4,D20=""),"Fach auswählen!",IF(OR(B20=B$36,B20=B$37,B20=B$38),IF(COUNTIF(E20:H20,0)&gt;0,"0 Punkte  =&gt; nicht best.!",""),""))</f>
        <v/>
      </c>
      <c r="S20" s="49"/>
      <c r="U20" s="7"/>
      <c r="V20" s="7"/>
      <c r="W20" s="7"/>
      <c r="X20" s="7"/>
      <c r="Y20" s="7"/>
      <c r="Z20" s="7"/>
      <c r="AA20" s="7"/>
      <c r="AG20" s="21" t="s">
        <v>39</v>
      </c>
    </row>
    <row r="21" spans="1:33" s="23" customFormat="1" ht="15.95" customHeight="1" thickBot="1">
      <c r="A21" s="124" t="s">
        <v>55</v>
      </c>
      <c r="B21" s="160" t="s">
        <v>42</v>
      </c>
      <c r="C21" s="161"/>
      <c r="D21" s="66" t="str">
        <f>IF(OR(B21=W3,B21=W4,B21=W5,B21=W6),4,"")</f>
        <v/>
      </c>
      <c r="E21" s="166"/>
      <c r="F21" s="169"/>
      <c r="G21" s="169"/>
      <c r="H21" s="170"/>
      <c r="I21" s="69" t="str">
        <f>IF(D21="","",SUM(E21:H21))</f>
        <v/>
      </c>
      <c r="J21" s="70" t="str">
        <f>IF(D21=4,1,"")</f>
        <v/>
      </c>
      <c r="K21" s="45" t="str">
        <f t="shared" si="8"/>
        <v/>
      </c>
      <c r="L21" s="45" t="str">
        <f t="shared" si="9"/>
        <v/>
      </c>
      <c r="M21" s="46">
        <v>589</v>
      </c>
      <c r="N21" s="47">
        <v>2.2999999999999998</v>
      </c>
      <c r="O21" s="46" t="str">
        <f t="shared" si="0"/>
        <v/>
      </c>
      <c r="P21" s="46" t="str">
        <f t="shared" si="1"/>
        <v/>
      </c>
      <c r="Q21" s="117" t="str">
        <f t="shared" si="3"/>
        <v/>
      </c>
      <c r="R21" s="132" t="str">
        <f>IF(AND(COUNTBLANK(E21:H21)&lt;4,D21=""),"Fach auswählen!",IF(OR(B21=B$36,B21=B$37,B21=B$38),IF(COUNTIF(E21:H21,0)&gt;0,"0 Punkte  =&gt; nicht best.!",""),""))</f>
        <v/>
      </c>
      <c r="S21" s="49"/>
      <c r="U21" s="7"/>
      <c r="V21" s="7"/>
      <c r="W21" s="7"/>
      <c r="X21" s="7"/>
      <c r="Y21" s="7"/>
      <c r="Z21" s="7"/>
      <c r="AA21" s="7"/>
      <c r="AG21" s="7" t="s">
        <v>14</v>
      </c>
    </row>
    <row r="22" spans="1:33" s="23" customFormat="1" ht="15.95" customHeight="1" thickBot="1">
      <c r="A22" s="124" t="s">
        <v>16</v>
      </c>
      <c r="B22" s="162"/>
      <c r="C22" s="163"/>
      <c r="D22" s="71" t="str">
        <f>IF(B21=W7,2,"")</f>
        <v/>
      </c>
      <c r="E22" s="167"/>
      <c r="F22" s="169"/>
      <c r="G22" s="169"/>
      <c r="H22" s="170"/>
      <c r="I22" s="72" t="str">
        <f>IF(D22="","",SUM(E22:H22))</f>
        <v/>
      </c>
      <c r="J22" s="73" t="str">
        <f t="shared" ref="J22:J29" si="10">IF(D22=2,1,"")</f>
        <v/>
      </c>
      <c r="K22" s="45" t="str">
        <f t="shared" si="8"/>
        <v/>
      </c>
      <c r="L22" s="45" t="str">
        <f t="shared" si="9"/>
        <v/>
      </c>
      <c r="M22" s="46">
        <v>607</v>
      </c>
      <c r="N22" s="47">
        <v>2.2000000000000002</v>
      </c>
      <c r="O22" s="46" t="str">
        <f t="shared" si="0"/>
        <v/>
      </c>
      <c r="P22" s="46" t="str">
        <f t="shared" si="1"/>
        <v/>
      </c>
      <c r="Q22" s="117" t="str">
        <f>IF(OR(B21=B$36,B21=B$37,B21=B$38),IF(COUNTBLANK(E21:H21)&gt;0,"Alle 4 Noten eintragen!",""),"")</f>
        <v/>
      </c>
      <c r="R22" s="132" t="str">
        <f>IF(AND(COUNTBLANK(E21:H21)&lt;4,D22=""),"Fach auswählen!",IF(OR(B22=B$36,B22=B$37,B22=B$38),IF(COUNTIF(E22:H22,0)&gt;0,"0 Punkte  =&gt; nicht best.!",""),""))</f>
        <v/>
      </c>
      <c r="S22" s="49"/>
      <c r="U22" s="7"/>
      <c r="V22" s="7"/>
      <c r="W22" s="7"/>
      <c r="X22" s="7"/>
      <c r="Y22" s="7"/>
      <c r="Z22" s="7"/>
      <c r="AA22" s="7"/>
      <c r="AG22" s="7"/>
    </row>
    <row r="23" spans="1:33" s="23" customFormat="1" ht="15.95" customHeight="1" thickBot="1">
      <c r="A23" s="125" t="s">
        <v>43</v>
      </c>
      <c r="B23" s="164"/>
      <c r="C23" s="165"/>
      <c r="D23" s="74" t="str">
        <f>IF(OR(B21=W8,B21=W9,B21=W10),2,"")</f>
        <v/>
      </c>
      <c r="E23" s="168"/>
      <c r="F23" s="169"/>
      <c r="G23" s="169"/>
      <c r="H23" s="170"/>
      <c r="I23" s="76" t="str">
        <f>IF(D23="","",SUM(E23:H23))</f>
        <v/>
      </c>
      <c r="J23" s="77" t="str">
        <f t="shared" si="10"/>
        <v/>
      </c>
      <c r="K23" s="45" t="str">
        <f t="shared" si="8"/>
        <v/>
      </c>
      <c r="L23" s="45" t="str">
        <f t="shared" si="9"/>
        <v/>
      </c>
      <c r="M23" s="46">
        <v>625</v>
      </c>
      <c r="N23" s="47">
        <v>2.1</v>
      </c>
      <c r="O23" s="46" t="str">
        <f t="shared" si="0"/>
        <v/>
      </c>
      <c r="P23" s="46" t="str">
        <f t="shared" si="1"/>
        <v/>
      </c>
      <c r="Q23" s="117" t="str">
        <f>IF(OR(B21=B$36,B21=B$37,B21=B$38),IF(COUNTBLANK(E21:H21)&gt;0,"Alle 4 Noten eintragen!",""),"")</f>
        <v/>
      </c>
      <c r="R23" s="132" t="str">
        <f>IF(AND(COUNTBLANK(E21:H21)&lt;4,D23=""),"Fach auswählen!",IF(OR(B23=B$36,B23=B$37,B23=B$38),IF(COUNTIF(E23:H23,0)&gt;0,"0 Punkte  =&gt; nicht best.!",""),""))</f>
        <v/>
      </c>
      <c r="S23" s="49"/>
      <c r="T23" s="7"/>
      <c r="U23" s="7"/>
      <c r="V23" s="7"/>
      <c r="W23" s="7"/>
      <c r="X23" s="7"/>
      <c r="Y23" s="7"/>
      <c r="Z23" s="7"/>
      <c r="AA23" s="7"/>
      <c r="AG23" s="7"/>
    </row>
    <row r="24" spans="1:33" s="23" customFormat="1" ht="15.95" customHeight="1" thickBot="1">
      <c r="A24" s="125" t="s">
        <v>46</v>
      </c>
      <c r="B24" s="141" t="s">
        <v>42</v>
      </c>
      <c r="C24" s="142"/>
      <c r="D24" s="27" t="str">
        <f>IF(OR(B24=Y3,B24=Y4,B24=Y5),2,"")</f>
        <v/>
      </c>
      <c r="E24" s="118"/>
      <c r="F24" s="119"/>
      <c r="G24" s="119"/>
      <c r="H24" s="120"/>
      <c r="I24" s="31" t="str">
        <f>IF(D24="","",SUM(E24:H24))</f>
        <v/>
      </c>
      <c r="J24" s="78" t="str">
        <f t="shared" si="10"/>
        <v/>
      </c>
      <c r="K24" s="45" t="str">
        <f t="shared" si="8"/>
        <v/>
      </c>
      <c r="L24" s="45" t="str">
        <f t="shared" si="9"/>
        <v/>
      </c>
      <c r="M24" s="46">
        <v>643</v>
      </c>
      <c r="N24" s="64">
        <v>2</v>
      </c>
      <c r="O24" s="46" t="str">
        <f t="shared" si="0"/>
        <v/>
      </c>
      <c r="P24" s="46" t="str">
        <f t="shared" si="1"/>
        <v/>
      </c>
      <c r="Q24" s="117" t="str">
        <f t="shared" si="3"/>
        <v/>
      </c>
      <c r="R24" s="132" t="str">
        <f t="shared" ref="R24:R27" si="11">IF(AND(COUNTBLANK(E24:H24)&lt;4,D24=""),"Fach auswählen!",IF(OR(B24=B$36,B24=B$37,B24=B$38),IF(COUNTIF(E24:H24,0)&gt;0,"0 Punkte  =&gt; nicht best.!",""),""))</f>
        <v/>
      </c>
      <c r="S24" s="49"/>
      <c r="U24" s="7"/>
      <c r="V24" s="7"/>
      <c r="W24" s="7"/>
      <c r="X24" s="7"/>
      <c r="Y24" s="7"/>
      <c r="Z24" s="7"/>
      <c r="AA24" s="7"/>
    </row>
    <row r="25" spans="1:33" s="23" customFormat="1" ht="15.95" customHeight="1" thickBot="1">
      <c r="A25" s="125" t="s">
        <v>51</v>
      </c>
      <c r="B25" s="141" t="s">
        <v>42</v>
      </c>
      <c r="C25" s="142"/>
      <c r="D25" s="27" t="str">
        <f>IF(OR(B25=Z3,B25=Z4,B25=Z5),2,"")</f>
        <v/>
      </c>
      <c r="E25" s="118"/>
      <c r="F25" s="119"/>
      <c r="G25" s="119"/>
      <c r="H25" s="120"/>
      <c r="I25" s="31" t="str">
        <f t="shared" ref="I25:I29" si="12">IF(D25="","",SUM(E25:H25))</f>
        <v/>
      </c>
      <c r="J25" s="78" t="str">
        <f t="shared" si="10"/>
        <v/>
      </c>
      <c r="K25" s="45" t="str">
        <f t="shared" si="8"/>
        <v/>
      </c>
      <c r="L25" s="45" t="str">
        <f t="shared" si="9"/>
        <v/>
      </c>
      <c r="M25" s="46">
        <v>661</v>
      </c>
      <c r="N25" s="47">
        <v>1.9</v>
      </c>
      <c r="O25" s="46" t="str">
        <f t="shared" si="0"/>
        <v/>
      </c>
      <c r="P25" s="46" t="str">
        <f t="shared" si="1"/>
        <v/>
      </c>
      <c r="Q25" s="117" t="str">
        <f>IF(COUNTBLANK(E25:H25)=0,"Nur 3 Kurse einzubringen!","")</f>
        <v/>
      </c>
      <c r="R25" s="132" t="str">
        <f t="shared" si="11"/>
        <v/>
      </c>
      <c r="S25" s="49"/>
      <c r="U25" s="7"/>
      <c r="V25" s="7"/>
      <c r="W25" s="7"/>
      <c r="X25" s="7"/>
      <c r="Y25" s="7"/>
      <c r="Z25" s="7"/>
      <c r="AA25" s="7"/>
    </row>
    <row r="26" spans="1:33" s="23" customFormat="1" ht="15.95" customHeight="1" thickBot="1">
      <c r="A26" s="125" t="s">
        <v>17</v>
      </c>
      <c r="B26" s="141" t="s">
        <v>42</v>
      </c>
      <c r="C26" s="142"/>
      <c r="D26" s="27" t="str">
        <f>IF(B26=AB4,2,"")</f>
        <v/>
      </c>
      <c r="E26" s="118"/>
      <c r="F26" s="119"/>
      <c r="G26" s="119"/>
      <c r="H26" s="120"/>
      <c r="I26" s="31" t="str">
        <f t="shared" si="12"/>
        <v/>
      </c>
      <c r="J26" s="78" t="str">
        <f t="shared" si="10"/>
        <v/>
      </c>
      <c r="K26" s="45" t="str">
        <f t="shared" si="8"/>
        <v/>
      </c>
      <c r="L26" s="45" t="str">
        <f t="shared" si="9"/>
        <v/>
      </c>
      <c r="M26" s="46">
        <v>679</v>
      </c>
      <c r="N26" s="47">
        <v>1.8</v>
      </c>
      <c r="O26" s="46" t="str">
        <f t="shared" si="0"/>
        <v/>
      </c>
      <c r="P26" s="46" t="str">
        <f>O26&amp;""&amp;P27</f>
        <v/>
      </c>
      <c r="Q26" s="117" t="str">
        <f t="shared" si="3"/>
        <v/>
      </c>
      <c r="R26" s="132" t="str">
        <f t="shared" si="11"/>
        <v/>
      </c>
      <c r="S26" s="49"/>
      <c r="U26" s="7"/>
      <c r="V26" s="7"/>
      <c r="W26" s="7"/>
      <c r="X26" s="7"/>
      <c r="Y26" s="7"/>
      <c r="Z26" s="7"/>
      <c r="AA26" s="7"/>
      <c r="AG26" s="7"/>
    </row>
    <row r="27" spans="1:33" s="23" customFormat="1" ht="15.95" customHeight="1" thickBot="1">
      <c r="A27" s="125" t="s">
        <v>57</v>
      </c>
      <c r="B27" s="141" t="s">
        <v>42</v>
      </c>
      <c r="C27" s="142"/>
      <c r="D27" s="27" t="str">
        <f>IF(OR(B27=AA3,B27=AA4),2,"")</f>
        <v/>
      </c>
      <c r="E27" s="118"/>
      <c r="F27" s="119"/>
      <c r="G27" s="119"/>
      <c r="H27" s="120"/>
      <c r="I27" s="31" t="str">
        <f t="shared" si="12"/>
        <v/>
      </c>
      <c r="J27" s="78" t="str">
        <f t="shared" si="10"/>
        <v/>
      </c>
      <c r="K27" s="45" t="str">
        <f t="shared" si="8"/>
        <v/>
      </c>
      <c r="L27" s="45" t="str">
        <f t="shared" si="9"/>
        <v/>
      </c>
      <c r="M27" s="46">
        <v>697</v>
      </c>
      <c r="N27" s="47">
        <v>1.7</v>
      </c>
      <c r="O27" s="46" t="str">
        <f t="shared" si="0"/>
        <v/>
      </c>
      <c r="P27" s="46" t="str">
        <f t="shared" si="1"/>
        <v/>
      </c>
      <c r="Q27" s="117" t="str">
        <f t="shared" si="3"/>
        <v/>
      </c>
      <c r="R27" s="132" t="str">
        <f t="shared" si="11"/>
        <v/>
      </c>
      <c r="S27" s="49"/>
      <c r="T27" s="7"/>
      <c r="U27" s="7"/>
      <c r="V27" s="7"/>
      <c r="W27" s="7"/>
      <c r="X27" s="7"/>
      <c r="Y27" s="7"/>
      <c r="Z27" s="7"/>
      <c r="AA27" s="7"/>
      <c r="AG27" s="7"/>
    </row>
    <row r="28" spans="1:33" s="23" customFormat="1" ht="15.95" customHeight="1" thickBot="1">
      <c r="A28" s="125" t="s">
        <v>18</v>
      </c>
      <c r="B28" s="141" t="s">
        <v>42</v>
      </c>
      <c r="C28" s="142"/>
      <c r="D28" s="27" t="str">
        <f>IF(OR(B28=AC3),2,"")</f>
        <v/>
      </c>
      <c r="E28" s="118"/>
      <c r="F28" s="119"/>
      <c r="G28" s="119"/>
      <c r="H28" s="120"/>
      <c r="I28" s="31" t="str">
        <f t="shared" si="12"/>
        <v/>
      </c>
      <c r="J28" s="78" t="str">
        <f t="shared" si="10"/>
        <v/>
      </c>
      <c r="K28" s="45" t="str">
        <f t="shared" si="8"/>
        <v/>
      </c>
      <c r="L28" s="45" t="str">
        <f t="shared" si="9"/>
        <v/>
      </c>
      <c r="M28" s="46">
        <v>715</v>
      </c>
      <c r="N28" s="47">
        <v>1.6</v>
      </c>
      <c r="O28" s="46" t="str">
        <f t="shared" si="0"/>
        <v/>
      </c>
      <c r="P28" s="46" t="str">
        <f t="shared" si="1"/>
        <v/>
      </c>
      <c r="Q28" s="117" t="str">
        <f t="shared" si="3"/>
        <v/>
      </c>
      <c r="R28" s="132" t="str">
        <f>IF(AND(COUNTBLANK(E28:H28)&lt;4,D28=""),"Fach auswählen!",IF(OR(B28=B$36,B28=B$37,B28=B$38),IF(COUNTIF(E28:H28,0)&gt;0,"0 Punkte  =&gt; nicht best.!",""),""))</f>
        <v/>
      </c>
      <c r="S28" s="49"/>
      <c r="U28" s="7"/>
      <c r="V28" s="7"/>
      <c r="W28" s="7"/>
      <c r="X28" s="7"/>
      <c r="Y28" s="7"/>
      <c r="Z28" s="7"/>
      <c r="AA28" s="7"/>
      <c r="AG28" s="7"/>
    </row>
    <row r="29" spans="1:33" s="23" customFormat="1" ht="15.95" customHeight="1" thickBot="1">
      <c r="A29" s="79" t="s">
        <v>95</v>
      </c>
      <c r="B29" s="171" t="s">
        <v>42</v>
      </c>
      <c r="C29" s="172"/>
      <c r="D29" s="27" t="str">
        <f>IF(B29=AD3,2,"")</f>
        <v/>
      </c>
      <c r="E29" s="118"/>
      <c r="F29" s="119"/>
      <c r="G29" s="119"/>
      <c r="H29" s="120"/>
      <c r="I29" s="31" t="str">
        <f t="shared" si="12"/>
        <v/>
      </c>
      <c r="J29" s="78" t="str">
        <f t="shared" si="10"/>
        <v/>
      </c>
      <c r="K29" s="45" t="str">
        <f t="shared" si="8"/>
        <v/>
      </c>
      <c r="L29" s="45" t="str">
        <f t="shared" si="9"/>
        <v/>
      </c>
      <c r="M29" s="46">
        <v>733</v>
      </c>
      <c r="N29" s="47">
        <v>1.5</v>
      </c>
      <c r="O29" s="46" t="str">
        <f t="shared" si="0"/>
        <v/>
      </c>
      <c r="P29" s="46" t="str">
        <f t="shared" si="1"/>
        <v/>
      </c>
      <c r="Q29" s="117" t="str">
        <f t="shared" si="3"/>
        <v/>
      </c>
      <c r="R29" s="132" t="str">
        <f>IF(AND(COUNTBLANK(E29:H29)&lt;4,D29=""),"Fach auswählen!",IF(OR(B29=B$36,B29=B$37,B29=B$38),IF(COUNTIF(E29:H29,0)&gt;0,"0 Punkte  =&gt; nicht best.!",""),""))</f>
        <v/>
      </c>
      <c r="S29" s="49"/>
      <c r="U29" s="7"/>
      <c r="V29" s="7"/>
      <c r="W29" s="7"/>
      <c r="X29" s="7"/>
      <c r="Y29" s="7"/>
      <c r="Z29" s="7"/>
      <c r="AA29" s="7"/>
      <c r="AG29" s="80"/>
    </row>
    <row r="30" spans="1:33" s="23" customFormat="1" ht="15.95" customHeight="1" thickBot="1">
      <c r="A30" s="173" t="s">
        <v>19</v>
      </c>
      <c r="B30" s="174"/>
      <c r="C30" s="175"/>
      <c r="D30" s="81">
        <f>SUM(D4:D29)</f>
        <v>28</v>
      </c>
      <c r="E30" s="183" t="s">
        <v>63</v>
      </c>
      <c r="F30" s="184"/>
      <c r="G30" s="184"/>
      <c r="H30" s="82">
        <f>COUNT(E4:H29)-COUNTIF(E4:H29,0)</f>
        <v>0</v>
      </c>
      <c r="I30" s="176" t="str">
        <f>IF(COUNTIF(J4:J29,2)&lt;3,"Faktor 3x auf 2 setzen!",IF(COUNTIF(J4:J29,2)&gt;3,"Faktor nur 3x auf 2 setzen!",""))</f>
        <v>Faktor 3x auf 2 setzen!</v>
      </c>
      <c r="J30" s="177"/>
      <c r="K30" s="177"/>
      <c r="L30" s="83"/>
      <c r="M30" s="46">
        <v>751</v>
      </c>
      <c r="N30" s="47">
        <v>1.4</v>
      </c>
      <c r="O30" s="46" t="str">
        <f t="shared" si="0"/>
        <v/>
      </c>
      <c r="P30" s="46" t="str">
        <f t="shared" si="1"/>
        <v/>
      </c>
      <c r="Q30" s="84"/>
      <c r="R30" s="132" t="str">
        <f>IF(AND(COUNTBLANK(E8:H8)&gt;0,COUNTBLANK(E20:H20)&gt;0),"4 N. in NW-Fach eintr.!",IF(OR(COUNTIF(E8:H8,0)&gt;0,COUNTIF(E20:H20,0)&gt;0),"0 Punkte  =&gt; nicht best.!",""))</f>
        <v>4 N. in NW-Fach eintr.!</v>
      </c>
      <c r="S30" s="86"/>
      <c r="U30" s="7"/>
      <c r="V30" s="7"/>
      <c r="W30" s="7"/>
      <c r="X30" s="7"/>
      <c r="Y30" s="7"/>
      <c r="Z30" s="7"/>
      <c r="AA30" s="7"/>
    </row>
    <row r="31" spans="1:33" ht="15.95" customHeight="1">
      <c r="A31" s="87"/>
      <c r="B31" s="117" t="str">
        <f>IF(OR(B20=B15,B21=B5,B24=B17,B26=B13,B26=B14,B29=B13,B29=B14),"Doppelbelegung!","")</f>
        <v/>
      </c>
      <c r="C31" s="137" t="str">
        <f>IF(D30&lt;34,"zu wenig Stunden/Semester","")</f>
        <v>zu wenig Stunden/Semester</v>
      </c>
      <c r="D31" s="137"/>
      <c r="E31" s="137"/>
      <c r="F31" s="116"/>
      <c r="G31" s="179" t="str">
        <f>IF(H30&lt;32,"zu wenig Kurse!","")</f>
        <v>zu wenig Kurse!</v>
      </c>
      <c r="H31" s="179"/>
      <c r="I31" s="178"/>
      <c r="J31" s="178"/>
      <c r="K31" s="178"/>
      <c r="L31" s="89"/>
      <c r="M31" s="33">
        <v>769</v>
      </c>
      <c r="N31" s="37">
        <v>1.3</v>
      </c>
      <c r="O31" s="33" t="str">
        <f t="shared" si="0"/>
        <v/>
      </c>
      <c r="P31" s="33" t="str">
        <f t="shared" si="1"/>
        <v/>
      </c>
      <c r="Q31" s="82"/>
      <c r="R31" s="132" t="str">
        <f>IF(AND(COUNTBLANK(E17:H17)&gt;0,COUNTBLANK(E24:H24)&gt;0),"4 N. in künstl. Fach eintr.!",IF(OR(COUNTIF(E17:H17,0)&gt;0,COUNTIF(E24:H24,0)&gt;0),"0 Punkte  =&gt; nicht best.!",""))</f>
        <v>4 N. in künstl. Fach eintr.!</v>
      </c>
    </row>
    <row r="32" spans="1:33" ht="15.95" customHeight="1" thickBot="1">
      <c r="A32" s="87"/>
      <c r="B32" s="116"/>
      <c r="C32" s="117"/>
      <c r="D32" s="117"/>
      <c r="E32" s="117"/>
      <c r="F32" s="179" t="str">
        <f>IF(COUNTIF(E4:H29,"&gt;15")&gt;0,"Notenwert(e) zu hoch!",IF(COUNTIF(E4:H29,"&lt;5")&gt;(H30/5),"zu viele Unterkurse!",""))</f>
        <v/>
      </c>
      <c r="G32" s="180"/>
      <c r="H32" s="180"/>
      <c r="I32" s="91"/>
      <c r="J32" s="91"/>
      <c r="K32" s="91"/>
      <c r="L32" s="89"/>
      <c r="M32" s="33">
        <v>787</v>
      </c>
      <c r="N32" s="37">
        <v>1.2</v>
      </c>
      <c r="O32" s="33" t="str">
        <f t="shared" si="0"/>
        <v/>
      </c>
      <c r="P32" s="33" t="str">
        <f t="shared" si="1"/>
        <v/>
      </c>
      <c r="Q32" s="137"/>
      <c r="R32" s="138"/>
    </row>
    <row r="33" spans="1:18" ht="15.95" customHeight="1" thickBot="1">
      <c r="A33" s="1" t="s">
        <v>67</v>
      </c>
      <c r="B33" s="92"/>
      <c r="C33" s="92"/>
      <c r="D33" s="92"/>
      <c r="E33" s="116"/>
      <c r="F33" s="116"/>
      <c r="G33" s="116"/>
      <c r="H33" s="116"/>
      <c r="I33" s="89"/>
      <c r="J33" s="89"/>
      <c r="K33" s="89"/>
      <c r="L33" s="89"/>
      <c r="M33" s="33">
        <v>805</v>
      </c>
      <c r="N33" s="37">
        <v>1.1000000000000001</v>
      </c>
      <c r="O33" s="33" t="str">
        <f>IF(P34&lt;&gt;"","",IF($F$38&gt;=M33,N33,""))</f>
        <v/>
      </c>
      <c r="P33" s="33" t="str">
        <f>O33&amp;""&amp;P34</f>
        <v/>
      </c>
      <c r="Q33" s="82"/>
      <c r="R33" s="90"/>
    </row>
    <row r="34" spans="1:18" ht="15.95" customHeight="1" thickBot="1">
      <c r="A34" s="93"/>
      <c r="B34" s="92"/>
      <c r="C34" s="94" t="s">
        <v>4</v>
      </c>
      <c r="D34" s="94" t="s">
        <v>73</v>
      </c>
      <c r="E34" s="116"/>
      <c r="F34" s="181" t="s">
        <v>74</v>
      </c>
      <c r="G34" s="182"/>
      <c r="H34" s="116"/>
      <c r="I34" s="181" t="s">
        <v>76</v>
      </c>
      <c r="J34" s="182"/>
      <c r="K34" s="89"/>
      <c r="L34" s="89"/>
      <c r="M34" s="33">
        <v>823</v>
      </c>
      <c r="N34" s="34">
        <v>1</v>
      </c>
      <c r="O34" s="33" t="str">
        <f>IF($F$38&gt;=M34,N34,"")</f>
        <v/>
      </c>
      <c r="P34" s="33" t="str">
        <f>O34</f>
        <v/>
      </c>
      <c r="Q34" s="82"/>
      <c r="R34" s="90"/>
    </row>
    <row r="35" spans="1:18" ht="15.95" customHeight="1" thickBot="1">
      <c r="A35" s="93" t="s">
        <v>68</v>
      </c>
      <c r="B35" s="95" t="s">
        <v>72</v>
      </c>
      <c r="C35" s="96" t="s">
        <v>64</v>
      </c>
      <c r="D35" s="97"/>
      <c r="E35" s="116"/>
      <c r="F35" s="185">
        <f>5*SUM(D35:D38)</f>
        <v>0</v>
      </c>
      <c r="G35" s="186"/>
      <c r="H35" s="116"/>
      <c r="I35" s="185" t="str">
        <f>IF(SUM(K4:K29)=0,"0",ROUND(SUM(K4:K29)/SUM(L4:L29)*40,0))</f>
        <v>0</v>
      </c>
      <c r="J35" s="186"/>
      <c r="K35" s="89"/>
      <c r="L35" s="89"/>
      <c r="M35" s="33"/>
      <c r="N35" s="98"/>
      <c r="O35" s="33"/>
      <c r="P35" s="33" t="str">
        <f>P34&amp;""&amp;O35</f>
        <v/>
      </c>
      <c r="Q35" s="82"/>
      <c r="R35" s="132"/>
    </row>
    <row r="36" spans="1:18" ht="15.95" customHeight="1" thickBot="1">
      <c r="A36" s="93" t="s">
        <v>69</v>
      </c>
      <c r="B36" s="99"/>
      <c r="C36" s="96" t="s">
        <v>64</v>
      </c>
      <c r="D36" s="97"/>
      <c r="E36" s="116"/>
      <c r="F36" s="191" t="str">
        <f>IF(F35&lt;100,"nicht best. (&lt;100P.)","")</f>
        <v>nicht best. (&lt;100P.)</v>
      </c>
      <c r="G36" s="191"/>
      <c r="H36" s="116"/>
      <c r="I36" s="191" t="str">
        <f>IF(I35&lt;200,"nicht best. (&lt;200P.)","")</f>
        <v/>
      </c>
      <c r="J36" s="191"/>
      <c r="K36" s="89"/>
      <c r="L36" s="89"/>
      <c r="M36" s="33"/>
      <c r="N36" s="98"/>
      <c r="O36" s="33"/>
      <c r="P36" s="33"/>
      <c r="Q36" s="82"/>
      <c r="R36" s="132"/>
    </row>
    <row r="37" spans="1:18" ht="15.95" customHeight="1" thickBot="1">
      <c r="A37" s="93" t="s">
        <v>70</v>
      </c>
      <c r="B37" s="99"/>
      <c r="C37" s="100" t="s">
        <v>66</v>
      </c>
      <c r="D37" s="97"/>
      <c r="E37" s="116"/>
      <c r="F37" s="181" t="s">
        <v>78</v>
      </c>
      <c r="G37" s="182"/>
      <c r="H37" s="116"/>
      <c r="I37" s="192" t="s">
        <v>79</v>
      </c>
      <c r="J37" s="193"/>
      <c r="K37" s="89"/>
      <c r="L37" s="89"/>
      <c r="M37" s="89"/>
      <c r="N37" s="89"/>
      <c r="O37" s="89"/>
      <c r="P37" s="89"/>
      <c r="Q37" s="82"/>
      <c r="R37" s="132"/>
    </row>
    <row r="38" spans="1:18" ht="15.95" customHeight="1" thickBot="1">
      <c r="A38" s="93" t="s">
        <v>71</v>
      </c>
      <c r="B38" s="99"/>
      <c r="C38" s="100" t="s">
        <v>66</v>
      </c>
      <c r="D38" s="97"/>
      <c r="E38" s="116"/>
      <c r="F38" s="185">
        <f>F35+I35</f>
        <v>0</v>
      </c>
      <c r="G38" s="186"/>
      <c r="H38" s="116"/>
      <c r="I38" s="194" t="str">
        <f>IF(AND(A39="",A40="",A41="",A42="",A43="",B39="",B40="",B41="",B42="",B43="",C39="",C40="",F36="",I36="",G31="",I30="",Q3="",Q4="",Q5="",Q6="",Q7="",Q8="",Q9="",Q10="",Q11="",Q12="",Q13="",Q14="",Q15="",Q16="",Q17="",Q18="",Q19="",Q20="",Q21="",Q22="",Q23="",Q24="",Q25="",Q26="",Q27="",Q28="",Q30="",Q32="",R3="",R4="",R5="",R8="",R9="",R10="",R11="",R12="",R13="",R14="",R15="",R16="",R17="",R18="",R19="",R20="",R21="",R22="",R23="",R24="",R25="",R26="",R27="",R28="",R30="",R31=""),P4,"Fehler vorhanden")</f>
        <v>Fehler vorhanden</v>
      </c>
      <c r="J38" s="195"/>
      <c r="K38" s="89"/>
      <c r="L38" s="89"/>
      <c r="M38" s="89"/>
      <c r="N38" s="89"/>
      <c r="O38" s="89"/>
      <c r="P38" s="89"/>
      <c r="Q38" s="82"/>
      <c r="R38" s="132" t="str">
        <f>IF(COUNTIF(C35:C37,"EN")&lt;2,"mind. 2x EN wählen!","")</f>
        <v/>
      </c>
    </row>
    <row r="39" spans="1:18" ht="15.95" customHeight="1">
      <c r="A39" s="93"/>
      <c r="B39" s="115" t="str">
        <f>IF(COUNTIF(B35:B38,"Deutsch")+COUNTIF(B35:B38,"Mathematik")+COUNTIF(B35:B38,"Englisch")+COUNTIF(B35:B38,"Spanisch")+COUNTIF(B35:B38,"Französisch")+COUNTIF(B35:B38,"Latein")&lt;2,"2 Kernfächer wählen!",IF(OR(B35=B36,B35=B37,B35=B38,B36=B37,B36=B38,B37=B38),"versch. Fächer wählen!",""))</f>
        <v>2 Kernfächer wählen!</v>
      </c>
      <c r="C39" s="187" t="str">
        <f>IF(COUNTIF(D35:D38,"&lt;5")&gt;2,"nicht best. (3-4mal &lt; 5 P.)","")</f>
        <v/>
      </c>
      <c r="D39" s="188"/>
      <c r="E39" s="188"/>
      <c r="F39" s="189"/>
      <c r="G39" s="189"/>
      <c r="H39" s="116"/>
      <c r="I39" s="89"/>
      <c r="J39" s="89"/>
      <c r="K39" s="89"/>
      <c r="L39" s="89"/>
      <c r="M39" s="89"/>
      <c r="N39" s="89"/>
      <c r="O39" s="89"/>
      <c r="P39" s="89"/>
      <c r="Q39" s="82"/>
      <c r="R39" s="90"/>
    </row>
    <row r="40" spans="1:18" ht="15.95" customHeight="1">
      <c r="A40" s="104" t="str">
        <f>IF(COUNTIF(B$4:B$29,B35)=1,"","1. Prüfungsfach in Block 1 nicht belegt!")</f>
        <v>1. Prüfungsfach in Block 1 nicht belegt!</v>
      </c>
      <c r="B40" s="105" t="str">
        <f>IF(COUNTIF(B35:B38,"Deutsch")+COUNTIF(B35:B38,"Englisch")+COUNTIF(B35:B38,"Spanisch")+COUNTIF(B35:B38,"Französisch")+COUNTIF(B35:B38,"Latein")+COUNTIF(B35:B38,"Kunst")+COUNTIF(B35:B38,"Musik")+COUNTIF(B35:B38,DSP)=0,"1. Aufgabenfeld fehlt!","")</f>
        <v>1. Aufgabenfeld fehlt!</v>
      </c>
      <c r="C40" s="187" t="str">
        <f>IF(OR(D35&gt;45,D36&gt;4),"",IF(AND(C37="EN",D37&gt;4),"",IF(AND(C38="EN",D38&gt;4),"","nicht bestanden (EN &lt; 5 P.)")))</f>
        <v>nicht bestanden (EN &lt; 5 P.)</v>
      </c>
      <c r="D40" s="190"/>
      <c r="E40" s="190"/>
      <c r="F40" s="116"/>
      <c r="G40" s="116"/>
      <c r="H40" s="116"/>
      <c r="I40" s="89"/>
      <c r="J40" s="89"/>
      <c r="K40" s="89"/>
      <c r="L40" s="89"/>
      <c r="M40" s="89"/>
      <c r="N40" s="89"/>
      <c r="O40" s="89"/>
      <c r="P40" s="89"/>
      <c r="Q40" s="82"/>
      <c r="R40" s="90"/>
    </row>
    <row r="41" spans="1:18" ht="15.95" customHeight="1">
      <c r="A41" s="104" t="str">
        <f>IF(COUNTIF(B$4:B$29,B36)=1,"","2. Prüfungsfach in Block 1 nicht belegt!")</f>
        <v>2. Prüfungsfach in Block 1 nicht belegt!</v>
      </c>
      <c r="B41" s="105" t="str">
        <f>IF(COUNTIF(B35:B38,"PGW")+COUNTIF(B35:B38,"Geschichte")+COUNTIF(B35:B38,"Geographie")+COUNTIF(B35:B38,"Religion")+COUNTIF(B35:B38,"Philosophie")+COUNTIF(B35:B38,"Pädagogik")+COUNTIF(B35:B38,"Psychologie")=0,"2. Aufgabenfeld fehlt!","")</f>
        <v>2. Aufgabenfeld fehlt!</v>
      </c>
      <c r="C41" s="106"/>
      <c r="D41" s="106"/>
      <c r="E41" s="106"/>
      <c r="F41" s="116"/>
      <c r="G41" s="116"/>
      <c r="H41" s="116"/>
      <c r="I41" s="89"/>
      <c r="J41" s="89"/>
      <c r="K41" s="89"/>
      <c r="L41" s="89"/>
      <c r="M41" s="89"/>
      <c r="N41" s="89"/>
      <c r="O41" s="89"/>
      <c r="P41" s="89"/>
      <c r="Q41" s="82"/>
      <c r="R41" s="90"/>
    </row>
    <row r="42" spans="1:18" ht="15.95" customHeight="1">
      <c r="A42" s="104" t="str">
        <f>IF(COUNTIF(B$4:B$29,B37)=1,"","3. Prüfungsfach in Block 1 nicht belegt!")</f>
        <v>3. Prüfungsfach in Block 1 nicht belegt!</v>
      </c>
      <c r="B42" s="105" t="str">
        <f>IF(COUNTIF(B35:B38,"Mathematik")+COUNTIF(B35:B38,"Biologie")+COUNTIF(B35:B38,"Chemie")+COUNTIF(B35:B38,"Physik")+COUNTIF(B35:B38,"Informatik")=0,"3. Aufgabenfeld fehlt!","")</f>
        <v>3. Aufgabenfeld fehlt!</v>
      </c>
      <c r="C42" s="92"/>
      <c r="D42" s="92"/>
      <c r="E42" s="116"/>
      <c r="F42" s="116"/>
      <c r="G42" s="116"/>
      <c r="H42" s="116"/>
      <c r="I42" s="89"/>
      <c r="J42" s="89"/>
      <c r="K42" s="89"/>
      <c r="L42" s="89"/>
      <c r="M42" s="89"/>
      <c r="N42" s="89"/>
      <c r="O42" s="89"/>
      <c r="P42" s="89"/>
      <c r="Q42" s="82"/>
      <c r="R42" s="90"/>
    </row>
    <row r="43" spans="1:18" ht="15.95" customHeight="1" thickBot="1">
      <c r="A43" s="107" t="str">
        <f>IF(COUNTIF(B$4:B$29,B38)=1,"","4. Prüfungsfach in Block 1 nicht belegt!")</f>
        <v>4. Prüfungsfach in Block 1 nicht belegt!</v>
      </c>
      <c r="B43" s="108" t="str">
        <f>IF(COUNTIF(B35:B38,B8)=0,"profilgeb. Fach fehlt!","")</f>
        <v>profilgeb. Fach fehlt!</v>
      </c>
      <c r="C43" s="109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1"/>
      <c r="R43" s="112"/>
    </row>
  </sheetData>
  <mergeCells count="50">
    <mergeCell ref="C40:E40"/>
    <mergeCell ref="F37:G37"/>
    <mergeCell ref="I37:J37"/>
    <mergeCell ref="F38:G38"/>
    <mergeCell ref="I38:J38"/>
    <mergeCell ref="C39:E39"/>
    <mergeCell ref="F39:G39"/>
    <mergeCell ref="Q32:R32"/>
    <mergeCell ref="F34:G34"/>
    <mergeCell ref="I34:J34"/>
    <mergeCell ref="F35:G35"/>
    <mergeCell ref="I35:J35"/>
    <mergeCell ref="F36:G36"/>
    <mergeCell ref="I36:J36"/>
    <mergeCell ref="A30:C30"/>
    <mergeCell ref="E30:G30"/>
    <mergeCell ref="I30:K31"/>
    <mergeCell ref="C31:E31"/>
    <mergeCell ref="G31:H31"/>
    <mergeCell ref="F32:H32"/>
    <mergeCell ref="B29:C29"/>
    <mergeCell ref="B20:C20"/>
    <mergeCell ref="B21:C23"/>
    <mergeCell ref="E21:E23"/>
    <mergeCell ref="F21:F23"/>
    <mergeCell ref="B24:C24"/>
    <mergeCell ref="B25:C25"/>
    <mergeCell ref="B26:C26"/>
    <mergeCell ref="B27:C27"/>
    <mergeCell ref="B28:C28"/>
    <mergeCell ref="G21:G23"/>
    <mergeCell ref="H21:H23"/>
    <mergeCell ref="B14:C14"/>
    <mergeCell ref="B15:C15"/>
    <mergeCell ref="B16:C16"/>
    <mergeCell ref="B17:C17"/>
    <mergeCell ref="B18:C18"/>
    <mergeCell ref="B19:C19"/>
    <mergeCell ref="B13:C13"/>
    <mergeCell ref="C1:I1"/>
    <mergeCell ref="Q2:R2"/>
    <mergeCell ref="O3:P3"/>
    <mergeCell ref="A4:A6"/>
    <mergeCell ref="B7:C7"/>
    <mergeCell ref="Q7:R7"/>
    <mergeCell ref="B9:C9"/>
    <mergeCell ref="B10:C10"/>
    <mergeCell ref="B11:C11"/>
    <mergeCell ref="B12:C12"/>
    <mergeCell ref="Q12:R12"/>
  </mergeCells>
  <dataValidations count="18">
    <dataValidation type="list" showInputMessage="1" showErrorMessage="1" sqref="B5">
      <formula1>T3:T6</formula1>
    </dataValidation>
    <dataValidation type="list" allowBlank="1" showInputMessage="1" showErrorMessage="1" sqref="C37:C38">
      <formula1>$AE$3:$AE$4</formula1>
    </dataValidation>
    <dataValidation type="list" showInputMessage="1" showErrorMessage="1" sqref="B14:C14">
      <formula1>$AB$3:$AB$4</formula1>
    </dataValidation>
    <dataValidation type="list" showInputMessage="1" showErrorMessage="1" sqref="B17:C17">
      <formula1>$Y$3:$Y$5</formula1>
    </dataValidation>
    <dataValidation type="list" allowBlank="1" showInputMessage="1" showErrorMessage="1" sqref="B29:C29">
      <formula1>$AD$3:$AD$4</formula1>
    </dataValidation>
    <dataValidation type="list" showInputMessage="1" showErrorMessage="1" sqref="B15:C15">
      <formula1>$V$3:$V$5</formula1>
    </dataValidation>
    <dataValidation type="list" showInputMessage="1" showErrorMessage="1" sqref="B16:C16">
      <formula1>$U$3:$U$4</formula1>
    </dataValidation>
    <dataValidation type="list" allowBlank="1" showInputMessage="1" showErrorMessage="1" sqref="B20:C20">
      <formula1>$V$3:$V$5</formula1>
    </dataValidation>
    <dataValidation type="list" allowBlank="1" showInputMessage="1" showErrorMessage="1" sqref="B25:C25">
      <formula1>$Z$3:$Z$6</formula1>
    </dataValidation>
    <dataValidation type="list" allowBlank="1" showInputMessage="1" showErrorMessage="1" sqref="B28:C28">
      <formula1>$AC$3:$AC$4</formula1>
    </dataValidation>
    <dataValidation type="list" allowBlank="1" showInputMessage="1" showErrorMessage="1" sqref="B27:C27">
      <formula1>$AA$3:$AA$5</formula1>
    </dataValidation>
    <dataValidation type="list" allowBlank="1" showInputMessage="1" showErrorMessage="1" sqref="B26:C26">
      <formula1>$AB$4:$AB$5</formula1>
    </dataValidation>
    <dataValidation type="list" allowBlank="1" showInputMessage="1" showErrorMessage="1" sqref="B21:B23">
      <formula1>$W$3:$W$11</formula1>
    </dataValidation>
    <dataValidation type="list" allowBlank="1" showInputMessage="1" showErrorMessage="1" sqref="B24:C24">
      <formula1>$Y$3:$Y$6</formula1>
    </dataValidation>
    <dataValidation type="list" showInputMessage="1" showErrorMessage="1" sqref="B35">
      <formula1>$T$9:$T$14</formula1>
    </dataValidation>
    <dataValidation type="list" showInputMessage="1" showErrorMessage="1" sqref="C4:C6">
      <formula1>$AE$3:$AE$4</formula1>
    </dataValidation>
    <dataValidation type="list" showInputMessage="1" showErrorMessage="1" sqref="J9 J15 J4:J6 J20:J21">
      <formula1>$AF$3:$AF$4</formula1>
    </dataValidation>
    <dataValidation type="list" showInputMessage="1" showErrorMessage="1" sqref="B36:B38">
      <formula1>$AG$3:$AG$21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43"/>
  <sheetViews>
    <sheetView workbookViewId="0"/>
  </sheetViews>
  <sheetFormatPr baseColWidth="10" defaultRowHeight="15.95" customHeight="1"/>
  <cols>
    <col min="1" max="1" width="47.140625" style="8" customWidth="1"/>
    <col min="2" max="2" width="20.5703125" style="8" customWidth="1"/>
    <col min="3" max="10" width="8.7109375" style="8" customWidth="1"/>
    <col min="11" max="16" width="8.7109375" style="8" hidden="1" customWidth="1"/>
    <col min="17" max="17" width="23" style="6" customWidth="1"/>
    <col min="18" max="18" width="22.7109375" style="6" customWidth="1"/>
    <col min="19" max="19" width="16" style="6" hidden="1" customWidth="1"/>
    <col min="20" max="21" width="10.42578125" style="7" hidden="1" customWidth="1"/>
    <col min="22" max="22" width="8.5703125" style="7" hidden="1" customWidth="1"/>
    <col min="23" max="23" width="12.140625" style="7" hidden="1" customWidth="1"/>
    <col min="24" max="24" width="11.42578125" style="7" hidden="1" customWidth="1"/>
    <col min="25" max="25" width="7.28515625" style="7" hidden="1" customWidth="1"/>
    <col min="26" max="26" width="9.28515625" style="7" hidden="1" customWidth="1"/>
    <col min="27" max="27" width="19.28515625" style="7" hidden="1" customWidth="1"/>
    <col min="28" max="30" width="11.42578125" style="8" hidden="1" customWidth="1"/>
    <col min="31" max="31" width="3.85546875" style="8" hidden="1" customWidth="1"/>
    <col min="32" max="32" width="3.42578125" style="8" hidden="1" customWidth="1"/>
    <col min="33" max="33" width="1" style="8" hidden="1" customWidth="1"/>
    <col min="34" max="16384" width="11.42578125" style="8"/>
  </cols>
  <sheetData>
    <row r="1" spans="1:33" ht="15.95" customHeight="1" thickBot="1">
      <c r="A1" s="1" t="s">
        <v>82</v>
      </c>
      <c r="B1" s="3"/>
      <c r="C1" s="139" t="s">
        <v>87</v>
      </c>
      <c r="D1" s="139"/>
      <c r="E1" s="139"/>
      <c r="F1" s="139"/>
      <c r="G1" s="139"/>
      <c r="H1" s="139"/>
      <c r="I1" s="140"/>
      <c r="J1" s="3"/>
      <c r="K1" s="3"/>
      <c r="L1" s="3"/>
      <c r="M1" s="3"/>
      <c r="N1" s="3"/>
      <c r="O1" s="3"/>
      <c r="P1" s="3"/>
      <c r="Q1" s="4"/>
      <c r="R1" s="5"/>
    </row>
    <row r="2" spans="1:33" ht="15.95" customHeight="1" thickBot="1">
      <c r="A2" s="9"/>
      <c r="B2" s="10"/>
      <c r="C2" s="10"/>
      <c r="D2" s="10"/>
      <c r="E2" s="10"/>
      <c r="F2" s="10"/>
      <c r="G2" s="10"/>
      <c r="H2" s="10"/>
      <c r="Q2" s="143" t="str">
        <f>IF(I38="Fehler vorhanden","Fehlermeldungen","")</f>
        <v>Fehlermeldungen</v>
      </c>
      <c r="R2" s="144"/>
    </row>
    <row r="3" spans="1:33" s="23" customFormat="1" ht="15.95" customHeight="1" thickBot="1">
      <c r="A3" s="11" t="s">
        <v>3</v>
      </c>
      <c r="B3" s="39"/>
      <c r="C3" s="11" t="s">
        <v>4</v>
      </c>
      <c r="D3" s="13" t="s">
        <v>5</v>
      </c>
      <c r="E3" s="14" t="s">
        <v>59</v>
      </c>
      <c r="F3" s="11" t="s">
        <v>60</v>
      </c>
      <c r="G3" s="11" t="s">
        <v>61</v>
      </c>
      <c r="H3" s="135" t="s">
        <v>61</v>
      </c>
      <c r="I3" s="14" t="s">
        <v>0</v>
      </c>
      <c r="J3" s="11" t="s">
        <v>62</v>
      </c>
      <c r="K3" s="15" t="s">
        <v>75</v>
      </c>
      <c r="L3" s="15" t="s">
        <v>77</v>
      </c>
      <c r="M3" s="16" t="s">
        <v>1</v>
      </c>
      <c r="N3" s="16" t="s">
        <v>2</v>
      </c>
      <c r="O3" s="145" t="s">
        <v>80</v>
      </c>
      <c r="P3" s="145"/>
      <c r="Q3" s="48"/>
      <c r="R3" s="18" t="str">
        <f>IF(COUNTIF(C4:C6,"EN")&lt;2,"mind. 2x EN wählen!","")</f>
        <v>mind. 2x EN wählen!</v>
      </c>
      <c r="S3" s="19" t="s">
        <v>83</v>
      </c>
      <c r="T3" s="20" t="s">
        <v>20</v>
      </c>
      <c r="U3" s="7" t="s">
        <v>23</v>
      </c>
      <c r="V3" s="7" t="s">
        <v>25</v>
      </c>
      <c r="W3" s="20" t="s">
        <v>20</v>
      </c>
      <c r="X3" s="7" t="s">
        <v>30</v>
      </c>
      <c r="Y3" s="7" t="s">
        <v>33</v>
      </c>
      <c r="Z3" s="7" t="s">
        <v>35</v>
      </c>
      <c r="AA3" s="7" t="s">
        <v>32</v>
      </c>
      <c r="AB3" s="21" t="s">
        <v>9</v>
      </c>
      <c r="AC3" s="7" t="s">
        <v>39</v>
      </c>
      <c r="AD3" s="22" t="s">
        <v>9</v>
      </c>
      <c r="AE3" s="7" t="s">
        <v>64</v>
      </c>
      <c r="AF3" s="23">
        <v>1</v>
      </c>
      <c r="AG3" s="24" t="s">
        <v>6</v>
      </c>
    </row>
    <row r="4" spans="1:33" s="23" customFormat="1" ht="15.95" customHeight="1" thickBot="1">
      <c r="A4" s="156" t="s">
        <v>81</v>
      </c>
      <c r="B4" s="25" t="s">
        <v>6</v>
      </c>
      <c r="C4" s="26" t="s">
        <v>66</v>
      </c>
      <c r="D4" s="27">
        <v>4</v>
      </c>
      <c r="E4" s="75"/>
      <c r="F4" s="67"/>
      <c r="G4" s="67"/>
      <c r="H4" s="68"/>
      <c r="I4" s="31">
        <f>SUM(E4:H4)</f>
        <v>0</v>
      </c>
      <c r="J4" s="67">
        <f>IF(AND(C4="EN",OR(B4=B$35,B4=B$36,B4=B$37)),2,1)</f>
        <v>1</v>
      </c>
      <c r="K4" s="32">
        <f>IF(OR(J4=1,J4=2),I4*J4,"")</f>
        <v>0</v>
      </c>
      <c r="L4" s="32">
        <f>COUNT(E4:H4)*J4</f>
        <v>0</v>
      </c>
      <c r="M4" s="33">
        <v>300</v>
      </c>
      <c r="N4" s="34">
        <v>4</v>
      </c>
      <c r="O4" s="33" t="str">
        <f t="shared" ref="O4:O32" si="0">IF(P5&lt;&gt;"","",IF($F$38&gt;=M4,N4,""))</f>
        <v/>
      </c>
      <c r="P4" s="33" t="str">
        <f t="shared" ref="P4:P32" si="1">O4&amp;""&amp;P5</f>
        <v/>
      </c>
      <c r="Q4" s="48" t="str">
        <f>IF(COUNTBLANK(E4:H4)&gt;0,"Alle 4 Noten eintragen!",IF(COUNTIF(E4:H4,0)&gt;0,"0 Punkte  =&gt; nicht best.!",""))</f>
        <v>Alle 4 Noten eintragen!</v>
      </c>
      <c r="R4" s="18" t="str">
        <f>IF(C4="Niveau?","Niveau wählen!","")</f>
        <v>Niveau wählen!</v>
      </c>
      <c r="S4" s="35" t="str">
        <f>IF(J4=2,IF(AND(OR(B4=B$35,B4=B$36,B4=B$37),C4="EN"),"ja","nein"),"")</f>
        <v/>
      </c>
      <c r="T4" s="7" t="s">
        <v>21</v>
      </c>
      <c r="U4" s="7" t="s">
        <v>24</v>
      </c>
      <c r="V4" s="7" t="s">
        <v>26</v>
      </c>
      <c r="W4" s="7" t="s">
        <v>21</v>
      </c>
      <c r="X4" s="7" t="s">
        <v>31</v>
      </c>
      <c r="Y4" s="7" t="s">
        <v>49</v>
      </c>
      <c r="Z4" s="7" t="s">
        <v>36</v>
      </c>
      <c r="AA4" s="7" t="s">
        <v>38</v>
      </c>
      <c r="AB4" s="7" t="s">
        <v>41</v>
      </c>
      <c r="AC4" s="7" t="s">
        <v>42</v>
      </c>
      <c r="AD4" s="22" t="s">
        <v>11</v>
      </c>
      <c r="AE4" s="7" t="s">
        <v>65</v>
      </c>
      <c r="AF4" s="23">
        <v>2</v>
      </c>
      <c r="AG4" s="7" t="s">
        <v>7</v>
      </c>
    </row>
    <row r="5" spans="1:33" s="23" customFormat="1" ht="15.95" customHeight="1" thickBot="1">
      <c r="A5" s="157"/>
      <c r="B5" s="62" t="s">
        <v>84</v>
      </c>
      <c r="C5" s="26" t="s">
        <v>66</v>
      </c>
      <c r="D5" s="27">
        <v>4</v>
      </c>
      <c r="E5" s="75"/>
      <c r="F5" s="67"/>
      <c r="G5" s="67"/>
      <c r="H5" s="68"/>
      <c r="I5" s="31">
        <f>SUM(E5:H5)</f>
        <v>0</v>
      </c>
      <c r="J5" s="67">
        <f>IF(AND(C5="EN",OR(B5=B$35,B5=B$36,B5=B$37)),2,1)</f>
        <v>1</v>
      </c>
      <c r="K5" s="32">
        <f>IF(OR(J5=1,J5=2),I5*J5,"")</f>
        <v>0</v>
      </c>
      <c r="L5" s="32">
        <f>COUNT(E5:H5)*J5</f>
        <v>0</v>
      </c>
      <c r="M5" s="33">
        <v>301</v>
      </c>
      <c r="N5" s="37">
        <v>3.9</v>
      </c>
      <c r="O5" s="33" t="str">
        <f t="shared" si="0"/>
        <v/>
      </c>
      <c r="P5" s="33" t="str">
        <f t="shared" si="1"/>
        <v/>
      </c>
      <c r="Q5" s="48" t="str">
        <f>IF(COUNTBLANK(E5:H5)&gt;0,"Alle 4 Noten eintragen!",IF(COUNTIF(E5:H5,0)&gt;0,"0 Punkte  =&gt; nicht best.!",""))</f>
        <v>Alle 4 Noten eintragen!</v>
      </c>
      <c r="R5" s="18" t="str">
        <f>IF(C5="Niveau?","Niveau wählen!","")</f>
        <v>Niveau wählen!</v>
      </c>
      <c r="S5" s="35" t="str">
        <f t="shared" ref="S5:S6" si="2">IF(J5=2,IF(AND(OR(B5=B$35,B5=B$36,B5=B$37),C5="EN"),"ja","nein"),"")</f>
        <v/>
      </c>
      <c r="T5" s="24" t="s">
        <v>28</v>
      </c>
      <c r="U5" s="7"/>
      <c r="V5" s="7" t="s">
        <v>27</v>
      </c>
      <c r="W5" s="24" t="s">
        <v>28</v>
      </c>
      <c r="X5" s="7" t="s">
        <v>32</v>
      </c>
      <c r="Y5" s="7" t="s">
        <v>34</v>
      </c>
      <c r="Z5" s="7" t="s">
        <v>37</v>
      </c>
      <c r="AA5" s="7" t="s">
        <v>42</v>
      </c>
      <c r="AB5" s="7" t="s">
        <v>42</v>
      </c>
      <c r="AD5" s="22" t="s">
        <v>42</v>
      </c>
      <c r="AG5" s="20" t="s">
        <v>20</v>
      </c>
    </row>
    <row r="6" spans="1:33" s="23" customFormat="1" ht="15.95" customHeight="1" thickBot="1">
      <c r="A6" s="158"/>
      <c r="B6" s="25" t="s">
        <v>7</v>
      </c>
      <c r="C6" s="26" t="s">
        <v>66</v>
      </c>
      <c r="D6" s="27">
        <v>4</v>
      </c>
      <c r="E6" s="75"/>
      <c r="F6" s="67"/>
      <c r="G6" s="67"/>
      <c r="H6" s="68"/>
      <c r="I6" s="31">
        <f>SUM(E6:H6)</f>
        <v>0</v>
      </c>
      <c r="J6" s="67">
        <f>IF(AND(C6="EN",OR(B6=B$35,B6=B$36,B6=B$37)),2,1)</f>
        <v>1</v>
      </c>
      <c r="K6" s="32">
        <f>IF(OR(J6=1,J6=2),I6*J6,"")</f>
        <v>0</v>
      </c>
      <c r="L6" s="32">
        <f>COUNT(E6:H6)*J6</f>
        <v>0</v>
      </c>
      <c r="M6" s="33">
        <v>319</v>
      </c>
      <c r="N6" s="37">
        <v>3.8</v>
      </c>
      <c r="O6" s="33" t="str">
        <f t="shared" si="0"/>
        <v/>
      </c>
      <c r="P6" s="33" t="str">
        <f t="shared" si="1"/>
        <v/>
      </c>
      <c r="Q6" s="48" t="str">
        <f>IF(COUNTBLANK(E6:H6)&gt;0,"Alle 4 Noten eintragen!",IF(COUNTIF(E6:H6,0)&gt;0,"0 Punkte  =&gt; nicht best.!",""))</f>
        <v>Alle 4 Noten eintragen!</v>
      </c>
      <c r="R6" s="18" t="str">
        <f>IF(C6="Niveau?","Niveau wählen!","")</f>
        <v>Niveau wählen!</v>
      </c>
      <c r="S6" s="35" t="str">
        <f t="shared" si="2"/>
        <v/>
      </c>
      <c r="T6" s="7" t="s">
        <v>22</v>
      </c>
      <c r="U6" s="7"/>
      <c r="V6" s="7" t="s">
        <v>42</v>
      </c>
      <c r="W6" s="7" t="s">
        <v>22</v>
      </c>
      <c r="X6" s="7" t="s">
        <v>42</v>
      </c>
      <c r="Y6" s="7" t="s">
        <v>42</v>
      </c>
      <c r="Z6" s="7" t="s">
        <v>42</v>
      </c>
      <c r="AA6" s="7"/>
      <c r="AG6" s="7" t="s">
        <v>21</v>
      </c>
    </row>
    <row r="7" spans="1:33" s="23" customFormat="1" ht="15.95" customHeight="1" thickBot="1">
      <c r="A7" s="38" t="s">
        <v>8</v>
      </c>
      <c r="B7" s="148"/>
      <c r="C7" s="149"/>
      <c r="D7" s="40"/>
      <c r="E7" s="41"/>
      <c r="F7" s="42"/>
      <c r="G7" s="42"/>
      <c r="H7" s="43"/>
      <c r="I7" s="44"/>
      <c r="J7" s="42"/>
      <c r="K7" s="45"/>
      <c r="L7" s="45"/>
      <c r="M7" s="46">
        <v>337</v>
      </c>
      <c r="N7" s="47">
        <v>3.7</v>
      </c>
      <c r="O7" s="46" t="str">
        <f t="shared" si="0"/>
        <v/>
      </c>
      <c r="P7" s="46" t="str">
        <f t="shared" si="1"/>
        <v/>
      </c>
      <c r="Q7" s="137" t="str">
        <f>IF(COUNTIF(J4:J6,2)=0,"Faktor e. EN-Kern- u. schr. Pr.fachs muss 2 sein!",IF(AND(COUNTIF(J4:J6,2)=1,S7=1),"Faktor e. EN-Kern u. schr. Pr.fachs muss 2 sein!",IF(AND(COUNTIF(J4:J6,2)=2,S7=2),"Faktor e. EN-Kern u. schr. Pr.fachs muss 2 sein!",IF(AND(COUNTIF(J4:J6,2)=3,S7=3),"Faktor e. EN-Kern u. schr. Pr.fachs muss 2 sein!",""))))</f>
        <v>Faktor e. EN-Kern- u. schr. Pr.fachs muss 2 sein!</v>
      </c>
      <c r="R7" s="159"/>
      <c r="S7" s="49">
        <f>COUNTIF(S4:S6,"nein")</f>
        <v>0</v>
      </c>
      <c r="T7" s="24"/>
      <c r="U7" s="7"/>
      <c r="V7" s="7"/>
      <c r="W7" s="7" t="s">
        <v>29</v>
      </c>
      <c r="X7" s="7"/>
      <c r="Y7" s="7"/>
      <c r="Z7" s="7"/>
      <c r="AA7" s="7"/>
      <c r="AG7" s="24" t="s">
        <v>28</v>
      </c>
    </row>
    <row r="8" spans="1:33" s="23" customFormat="1" ht="15.95" customHeight="1" thickBot="1">
      <c r="A8" s="50" t="s">
        <v>44</v>
      </c>
      <c r="B8" s="53" t="s">
        <v>41</v>
      </c>
      <c r="C8" s="52" t="s">
        <v>64</v>
      </c>
      <c r="D8" s="27">
        <v>4</v>
      </c>
      <c r="E8" s="75"/>
      <c r="F8" s="67"/>
      <c r="G8" s="67"/>
      <c r="H8" s="68"/>
      <c r="I8" s="31">
        <f>SUM(E8:H8)</f>
        <v>0</v>
      </c>
      <c r="J8" s="52">
        <v>2</v>
      </c>
      <c r="K8" s="45">
        <f>IF(OR(J8=1,J8=2),I8*J8,"")</f>
        <v>0</v>
      </c>
      <c r="L8" s="45">
        <f>COUNT(E8:H8)*J8</f>
        <v>0</v>
      </c>
      <c r="M8" s="46">
        <v>355</v>
      </c>
      <c r="N8" s="47">
        <v>3.6</v>
      </c>
      <c r="O8" s="46" t="str">
        <f t="shared" si="0"/>
        <v/>
      </c>
      <c r="P8" s="46" t="str">
        <f t="shared" si="1"/>
        <v/>
      </c>
      <c r="Q8" s="48" t="str">
        <f>IF(COUNTBLANK(E8:H8)&gt;0,"Alle 4 Noten eintragen!","")</f>
        <v>Alle 4 Noten eintragen!</v>
      </c>
      <c r="R8" s="18" t="str">
        <f>IF(OR(B8=B$36,B8=B$37,B8=B$38),IF(COUNTIF(E8:H8,0)&gt;0,"0 Punkte  =&gt; nicht best.!",""),"")</f>
        <v/>
      </c>
      <c r="S8" s="49"/>
      <c r="T8" s="24"/>
      <c r="U8" s="7"/>
      <c r="V8" s="7"/>
      <c r="W8" s="7" t="s">
        <v>30</v>
      </c>
      <c r="X8" s="7"/>
      <c r="Y8" s="7"/>
      <c r="Z8" s="7"/>
      <c r="AA8" s="7"/>
      <c r="AG8" s="7" t="s">
        <v>22</v>
      </c>
    </row>
    <row r="9" spans="1:33" s="23" customFormat="1" ht="15.95" customHeight="1" thickBot="1">
      <c r="A9" s="50" t="s">
        <v>45</v>
      </c>
      <c r="B9" s="146" t="s">
        <v>25</v>
      </c>
      <c r="C9" s="147"/>
      <c r="D9" s="27">
        <v>4</v>
      </c>
      <c r="E9" s="75"/>
      <c r="F9" s="67"/>
      <c r="G9" s="67"/>
      <c r="H9" s="68"/>
      <c r="I9" s="31">
        <f>SUM(E9:H9)</f>
        <v>0</v>
      </c>
      <c r="J9" s="113">
        <f>IF(OR(D9=2,D9=4),1,"")</f>
        <v>1</v>
      </c>
      <c r="K9" s="45">
        <f>IF(OR(J9=1,J9=2),I9*J9,"")</f>
        <v>0</v>
      </c>
      <c r="L9" s="45">
        <f>COUNT(E9:H9)*J9</f>
        <v>0</v>
      </c>
      <c r="M9" s="46">
        <v>373</v>
      </c>
      <c r="N9" s="47">
        <v>3.5</v>
      </c>
      <c r="O9" s="46" t="str">
        <f t="shared" si="0"/>
        <v/>
      </c>
      <c r="P9" s="46" t="str">
        <f t="shared" si="1"/>
        <v/>
      </c>
      <c r="Q9" s="48" t="str">
        <f t="shared" ref="Q9:Q29" si="3">IF(OR(B9=B$36,B9=B$37,B9=B$38),IF(COUNTBLANK(E9:H9)&gt;0,"Alle 4 Noten eintragen!",""),"")</f>
        <v/>
      </c>
      <c r="R9" s="18" t="str">
        <f t="shared" ref="R9:R18" si="4">IF(OR(B9=B$36,B9=B$37,B9=B$38),IF(COUNTIF(E9:H9,0)&gt;0,"0 Punkte  =&gt; nicht best.!",""),"")</f>
        <v/>
      </c>
      <c r="S9" s="49"/>
      <c r="T9" s="24" t="s">
        <v>6</v>
      </c>
      <c r="U9" s="7"/>
      <c r="V9" s="7"/>
      <c r="W9" s="7" t="s">
        <v>31</v>
      </c>
      <c r="X9" s="7"/>
      <c r="Y9" s="7"/>
      <c r="Z9" s="7"/>
      <c r="AA9" s="7"/>
      <c r="AG9" s="7" t="s">
        <v>25</v>
      </c>
    </row>
    <row r="10" spans="1:33" s="23" customFormat="1" ht="15.95" hidden="1" customHeight="1" thickBot="1">
      <c r="A10" s="50"/>
      <c r="B10" s="146"/>
      <c r="C10" s="147"/>
      <c r="D10" s="27"/>
      <c r="E10" s="75"/>
      <c r="F10" s="67"/>
      <c r="G10" s="67"/>
      <c r="H10" s="68"/>
      <c r="I10" s="31"/>
      <c r="J10" s="52"/>
      <c r="K10" s="45"/>
      <c r="L10" s="45"/>
      <c r="M10" s="46"/>
      <c r="N10" s="47"/>
      <c r="O10" s="46"/>
      <c r="P10" s="46"/>
      <c r="Q10" s="48"/>
      <c r="R10" s="18"/>
      <c r="S10" s="49"/>
      <c r="T10" s="7" t="s">
        <v>7</v>
      </c>
      <c r="U10" s="7"/>
      <c r="V10" s="7"/>
      <c r="W10" s="7" t="s">
        <v>32</v>
      </c>
      <c r="X10" s="7"/>
      <c r="Y10" s="7"/>
      <c r="Z10" s="7"/>
      <c r="AA10" s="7"/>
      <c r="AG10" s="7" t="s">
        <v>26</v>
      </c>
    </row>
    <row r="11" spans="1:33" s="23" customFormat="1" ht="15.95" customHeight="1" thickBot="1">
      <c r="A11" s="50" t="s">
        <v>12</v>
      </c>
      <c r="B11" s="146" t="s">
        <v>12</v>
      </c>
      <c r="C11" s="147"/>
      <c r="D11" s="27">
        <v>2</v>
      </c>
      <c r="E11" s="75"/>
      <c r="F11" s="67"/>
      <c r="G11" s="67"/>
      <c r="H11" s="68"/>
      <c r="I11" s="31">
        <f>IF(D11="","",SUM(E11:H11))</f>
        <v>0</v>
      </c>
      <c r="J11" s="52">
        <f>IF(D11=2,1,"")</f>
        <v>1</v>
      </c>
      <c r="K11" s="45">
        <f>IF(OR(J11=1,J11=2),I11*J11,"")</f>
        <v>0</v>
      </c>
      <c r="L11" s="45">
        <f>COUNT(E11:H11)*J11</f>
        <v>0</v>
      </c>
      <c r="M11" s="46">
        <v>409</v>
      </c>
      <c r="N11" s="47">
        <v>3.3</v>
      </c>
      <c r="O11" s="46" t="str">
        <f t="shared" si="0"/>
        <v/>
      </c>
      <c r="P11" s="46" t="str">
        <f t="shared" si="1"/>
        <v/>
      </c>
      <c r="Q11" s="48" t="str">
        <f t="shared" si="3"/>
        <v/>
      </c>
      <c r="R11" s="18" t="str">
        <f t="shared" si="4"/>
        <v/>
      </c>
      <c r="S11" s="49"/>
      <c r="T11" s="20" t="s">
        <v>20</v>
      </c>
      <c r="U11" s="7"/>
      <c r="V11" s="7"/>
      <c r="W11" s="7" t="s">
        <v>42</v>
      </c>
      <c r="X11" s="7"/>
      <c r="Y11" s="7"/>
      <c r="Z11" s="7"/>
      <c r="AA11" s="7"/>
      <c r="AG11" s="7" t="s">
        <v>27</v>
      </c>
    </row>
    <row r="12" spans="1:33" s="23" customFormat="1" ht="15.95" customHeight="1" thickBot="1">
      <c r="A12" s="38" t="s">
        <v>13</v>
      </c>
      <c r="B12" s="148"/>
      <c r="C12" s="149"/>
      <c r="D12" s="40"/>
      <c r="E12" s="41"/>
      <c r="F12" s="42"/>
      <c r="G12" s="42"/>
      <c r="H12" s="43"/>
      <c r="I12" s="44"/>
      <c r="J12" s="42"/>
      <c r="K12" s="45"/>
      <c r="L12" s="45"/>
      <c r="M12" s="46">
        <v>427</v>
      </c>
      <c r="N12" s="47">
        <v>3.2</v>
      </c>
      <c r="O12" s="46" t="str">
        <f t="shared" si="0"/>
        <v/>
      </c>
      <c r="P12" s="46" t="str">
        <f t="shared" si="1"/>
        <v/>
      </c>
      <c r="Q12" s="137"/>
      <c r="R12" s="154"/>
      <c r="S12" s="49"/>
      <c r="T12" s="7" t="s">
        <v>21</v>
      </c>
      <c r="U12" s="7"/>
      <c r="V12" s="7"/>
      <c r="W12" s="7"/>
      <c r="X12" s="7"/>
      <c r="Y12" s="7"/>
      <c r="Z12" s="7"/>
      <c r="AA12" s="7"/>
      <c r="AG12" s="21" t="s">
        <v>9</v>
      </c>
    </row>
    <row r="13" spans="1:33" s="60" customFormat="1" ht="15.95" hidden="1" customHeight="1" thickBot="1">
      <c r="A13" s="54"/>
      <c r="B13" s="150"/>
      <c r="C13" s="151"/>
      <c r="D13" s="55"/>
      <c r="E13" s="56"/>
      <c r="F13" s="57"/>
      <c r="G13" s="57"/>
      <c r="H13" s="58"/>
      <c r="I13" s="31"/>
      <c r="J13" s="52"/>
      <c r="K13" s="45"/>
      <c r="L13" s="45"/>
      <c r="M13" s="46"/>
      <c r="N13" s="47"/>
      <c r="O13" s="46"/>
      <c r="P13" s="46"/>
      <c r="Q13" s="48"/>
      <c r="R13" s="18"/>
      <c r="S13" s="59"/>
      <c r="T13" s="24" t="s">
        <v>28</v>
      </c>
      <c r="U13" s="7"/>
      <c r="V13" s="7"/>
      <c r="W13" s="7"/>
      <c r="X13" s="7"/>
      <c r="Y13" s="7"/>
      <c r="Z13" s="7"/>
      <c r="AA13" s="7"/>
      <c r="AG13" s="7" t="s">
        <v>41</v>
      </c>
    </row>
    <row r="14" spans="1:33" s="60" customFormat="1" ht="15.95" hidden="1" customHeight="1" thickBot="1">
      <c r="A14" s="61"/>
      <c r="B14" s="152"/>
      <c r="C14" s="153"/>
      <c r="D14" s="63"/>
      <c r="E14" s="56"/>
      <c r="F14" s="57"/>
      <c r="G14" s="57"/>
      <c r="H14" s="58"/>
      <c r="I14" s="31"/>
      <c r="J14" s="52"/>
      <c r="K14" s="45"/>
      <c r="L14" s="45"/>
      <c r="M14" s="46"/>
      <c r="N14" s="64"/>
      <c r="O14" s="46"/>
      <c r="P14" s="46"/>
      <c r="Q14" s="48"/>
      <c r="R14" s="18"/>
      <c r="S14" s="59"/>
      <c r="T14" s="7" t="s">
        <v>22</v>
      </c>
      <c r="U14" s="7"/>
      <c r="V14" s="7"/>
      <c r="W14" s="7"/>
      <c r="X14" s="7"/>
      <c r="Y14" s="7"/>
      <c r="Z14" s="7"/>
      <c r="AA14" s="7"/>
      <c r="AG14" s="22" t="s">
        <v>11</v>
      </c>
    </row>
    <row r="15" spans="1:33" s="23" customFormat="1" ht="15.95" hidden="1" customHeight="1" thickBot="1">
      <c r="A15" s="50"/>
      <c r="B15" s="141"/>
      <c r="C15" s="142"/>
      <c r="D15" s="27"/>
      <c r="E15" s="75"/>
      <c r="F15" s="67"/>
      <c r="G15" s="67"/>
      <c r="H15" s="68"/>
      <c r="I15" s="31"/>
      <c r="J15" s="67"/>
      <c r="K15" s="45"/>
      <c r="L15" s="45"/>
      <c r="M15" s="46"/>
      <c r="N15" s="47"/>
      <c r="O15" s="46"/>
      <c r="P15" s="46"/>
      <c r="Q15" s="48"/>
      <c r="R15" s="18" t="str">
        <f t="shared" si="4"/>
        <v/>
      </c>
      <c r="S15" s="49"/>
      <c r="U15" s="7"/>
      <c r="V15" s="7"/>
      <c r="W15" s="7"/>
      <c r="X15" s="7"/>
      <c r="Y15" s="7"/>
      <c r="Z15" s="7"/>
      <c r="AA15" s="7"/>
      <c r="AG15" s="7" t="s">
        <v>23</v>
      </c>
    </row>
    <row r="16" spans="1:33" s="23" customFormat="1" ht="15.95" customHeight="1" thickBot="1">
      <c r="A16" s="50" t="s">
        <v>48</v>
      </c>
      <c r="B16" s="141" t="s">
        <v>40</v>
      </c>
      <c r="C16" s="142"/>
      <c r="D16" s="27">
        <v>2</v>
      </c>
      <c r="E16" s="75"/>
      <c r="F16" s="67"/>
      <c r="G16" s="67"/>
      <c r="H16" s="68"/>
      <c r="I16" s="31">
        <f t="shared" ref="I16:I18" si="5">IF(D16="","",SUM(E16:H16))</f>
        <v>0</v>
      </c>
      <c r="J16" s="52">
        <f>IF(D16=2,1,"")</f>
        <v>1</v>
      </c>
      <c r="K16" s="45">
        <f t="shared" ref="K16:K18" si="6">IF(OR(J16=1,J16=2),I16*J16,"")</f>
        <v>0</v>
      </c>
      <c r="L16" s="45" t="str">
        <f t="shared" ref="L16:L18" si="7">IF(COUNT(E16:H16)=0,"",COUNT(E16:H16)*J16)</f>
        <v/>
      </c>
      <c r="M16" s="46">
        <v>499</v>
      </c>
      <c r="N16" s="47">
        <v>2.8</v>
      </c>
      <c r="O16" s="46" t="str">
        <f t="shared" si="0"/>
        <v/>
      </c>
      <c r="P16" s="46" t="str">
        <f t="shared" si="1"/>
        <v/>
      </c>
      <c r="Q16" s="48" t="str">
        <f t="shared" si="3"/>
        <v/>
      </c>
      <c r="R16" s="18" t="str">
        <f t="shared" si="4"/>
        <v/>
      </c>
      <c r="S16" s="49"/>
      <c r="T16" s="7"/>
      <c r="U16" s="7"/>
      <c r="V16" s="7"/>
      <c r="W16" s="7"/>
      <c r="X16" s="7"/>
      <c r="Y16" s="7"/>
      <c r="Z16" s="7"/>
      <c r="AA16" s="7"/>
      <c r="AG16" s="7" t="s">
        <v>24</v>
      </c>
    </row>
    <row r="17" spans="1:33" s="23" customFormat="1" ht="15.95" customHeight="1" thickBot="1">
      <c r="A17" s="50" t="s">
        <v>46</v>
      </c>
      <c r="B17" s="141" t="s">
        <v>40</v>
      </c>
      <c r="C17" s="142"/>
      <c r="D17" s="27">
        <v>2</v>
      </c>
      <c r="E17" s="75"/>
      <c r="F17" s="67"/>
      <c r="G17" s="67"/>
      <c r="H17" s="68"/>
      <c r="I17" s="31">
        <f t="shared" si="5"/>
        <v>0</v>
      </c>
      <c r="J17" s="52">
        <f>IF(D17=2,1,"")</f>
        <v>1</v>
      </c>
      <c r="K17" s="45">
        <f t="shared" si="6"/>
        <v>0</v>
      </c>
      <c r="L17" s="45" t="str">
        <f t="shared" si="7"/>
        <v/>
      </c>
      <c r="M17" s="46">
        <v>517</v>
      </c>
      <c r="N17" s="47">
        <v>2.7</v>
      </c>
      <c r="O17" s="46" t="str">
        <f t="shared" si="0"/>
        <v/>
      </c>
      <c r="P17" s="46" t="str">
        <f t="shared" si="1"/>
        <v/>
      </c>
      <c r="Q17" s="48" t="str">
        <f t="shared" si="3"/>
        <v/>
      </c>
      <c r="R17" s="18" t="str">
        <f t="shared" si="4"/>
        <v/>
      </c>
      <c r="S17" s="49"/>
      <c r="U17" s="7"/>
      <c r="V17" s="7"/>
      <c r="W17" s="7"/>
      <c r="X17" s="7"/>
      <c r="Y17" s="7"/>
      <c r="Z17" s="7"/>
      <c r="AA17" s="7"/>
      <c r="AG17" s="7" t="s">
        <v>33</v>
      </c>
    </row>
    <row r="18" spans="1:33" s="23" customFormat="1" ht="15.95" customHeight="1" thickBot="1">
      <c r="A18" s="50" t="s">
        <v>14</v>
      </c>
      <c r="B18" s="146" t="s">
        <v>14</v>
      </c>
      <c r="C18" s="155"/>
      <c r="D18" s="27">
        <v>2</v>
      </c>
      <c r="E18" s="75"/>
      <c r="F18" s="67"/>
      <c r="G18" s="67"/>
      <c r="H18" s="68"/>
      <c r="I18" s="31">
        <f t="shared" si="5"/>
        <v>0</v>
      </c>
      <c r="J18" s="52">
        <f>IF(D18=2,1,"")</f>
        <v>1</v>
      </c>
      <c r="K18" s="45">
        <f t="shared" si="6"/>
        <v>0</v>
      </c>
      <c r="L18" s="45" t="str">
        <f t="shared" si="7"/>
        <v/>
      </c>
      <c r="M18" s="46">
        <v>535</v>
      </c>
      <c r="N18" s="47">
        <v>2.6</v>
      </c>
      <c r="O18" s="46" t="str">
        <f t="shared" si="0"/>
        <v/>
      </c>
      <c r="P18" s="46" t="str">
        <f t="shared" si="1"/>
        <v/>
      </c>
      <c r="Q18" s="48" t="str">
        <f t="shared" si="3"/>
        <v/>
      </c>
      <c r="R18" s="18" t="str">
        <f t="shared" si="4"/>
        <v/>
      </c>
      <c r="S18" s="49"/>
      <c r="U18" s="7"/>
      <c r="V18" s="7"/>
      <c r="W18" s="7"/>
      <c r="X18" s="7"/>
      <c r="Y18" s="7"/>
      <c r="Z18" s="7"/>
      <c r="AA18" s="7"/>
      <c r="AG18" s="7" t="s">
        <v>49</v>
      </c>
    </row>
    <row r="19" spans="1:33" s="23" customFormat="1" ht="15.95" customHeight="1" thickBot="1">
      <c r="A19" s="38" t="s">
        <v>15</v>
      </c>
      <c r="B19" s="148"/>
      <c r="C19" s="149"/>
      <c r="D19" s="40"/>
      <c r="E19" s="41"/>
      <c r="F19" s="42"/>
      <c r="G19" s="42"/>
      <c r="H19" s="43"/>
      <c r="I19" s="44"/>
      <c r="J19" s="42"/>
      <c r="K19" s="45"/>
      <c r="L19" s="45"/>
      <c r="M19" s="46">
        <v>553</v>
      </c>
      <c r="N19" s="47">
        <v>2.5</v>
      </c>
      <c r="O19" s="46" t="str">
        <f t="shared" si="0"/>
        <v/>
      </c>
      <c r="P19" s="46" t="str">
        <f t="shared" si="1"/>
        <v/>
      </c>
      <c r="Q19" s="48" t="str">
        <f>IF(OR(B13="Auswahlliste!",B14="Auswahlliste!",B15="Auswahlliste!",B16="Auswahlliste!",B17="Auswahlliste!"),"Wahlpfl.fächer wählen!","")</f>
        <v>Wahlpfl.fächer wählen!</v>
      </c>
      <c r="R19" s="18"/>
      <c r="S19" s="49"/>
      <c r="U19" s="7"/>
      <c r="V19" s="7"/>
      <c r="W19" s="7"/>
      <c r="X19" s="7"/>
      <c r="Y19" s="7"/>
      <c r="Z19" s="7"/>
      <c r="AA19" s="7"/>
      <c r="AG19" s="7" t="s">
        <v>34</v>
      </c>
    </row>
    <row r="20" spans="1:33" s="23" customFormat="1" ht="15.95" customHeight="1" thickBot="1">
      <c r="A20" s="50" t="s">
        <v>54</v>
      </c>
      <c r="B20" s="141" t="s">
        <v>42</v>
      </c>
      <c r="C20" s="142"/>
      <c r="D20" s="27" t="str">
        <f>IF(OR(B20=V3,B20=V4,B20=V5),4,"")</f>
        <v/>
      </c>
      <c r="E20" s="75"/>
      <c r="F20" s="67"/>
      <c r="G20" s="67"/>
      <c r="H20" s="68"/>
      <c r="I20" s="31" t="str">
        <f>IF(D20="","",SUM(E20:H20))</f>
        <v/>
      </c>
      <c r="J20" s="136" t="str">
        <f>IF(D20=4,1,"")</f>
        <v/>
      </c>
      <c r="K20" s="45" t="str">
        <f t="shared" ref="K20:K29" si="8">IF(OR(J20=1,J20=2),I20*J20,"")</f>
        <v/>
      </c>
      <c r="L20" s="45" t="str">
        <f t="shared" ref="L20:L29" si="9">IF(COUNT(E20:H20)=0,"",COUNT(E20:H20)*J20)</f>
        <v/>
      </c>
      <c r="M20" s="46">
        <v>571</v>
      </c>
      <c r="N20" s="47">
        <v>2.4</v>
      </c>
      <c r="O20" s="46" t="str">
        <f t="shared" si="0"/>
        <v/>
      </c>
      <c r="P20" s="46" t="str">
        <f t="shared" si="1"/>
        <v/>
      </c>
      <c r="Q20" s="48" t="str">
        <f>IF(OR(B20=B$36,B20=B$37,B20=B$38),IF(COUNTBLANK(E20:H20)&gt;0,"Alle 4 Noten eintragen!",""),"")</f>
        <v/>
      </c>
      <c r="R20" s="18" t="str">
        <f>IF(AND(COUNTBLANK(E20:H20)&lt;4,D20=""),"Fach auswählen!",IF(OR(B20=B$36,B20=B$37,B20=B$38),IF(COUNTIF(E20:H20,0)&gt;0,"0 Punkte  =&gt; nicht best.!",""),""))</f>
        <v/>
      </c>
      <c r="S20" s="49"/>
      <c r="U20" s="7"/>
      <c r="V20" s="7"/>
      <c r="W20" s="7"/>
      <c r="X20" s="7"/>
      <c r="Y20" s="7"/>
      <c r="Z20" s="7"/>
      <c r="AA20" s="7"/>
      <c r="AG20" s="21" t="s">
        <v>39</v>
      </c>
    </row>
    <row r="21" spans="1:33" s="23" customFormat="1" ht="15.95" customHeight="1" thickBot="1">
      <c r="A21" s="65" t="s">
        <v>55</v>
      </c>
      <c r="B21" s="160" t="s">
        <v>42</v>
      </c>
      <c r="C21" s="161"/>
      <c r="D21" s="66" t="str">
        <f>IF(OR(B21=W3,B21=W4,B21=W5,B21=W6),4,"")</f>
        <v/>
      </c>
      <c r="E21" s="166"/>
      <c r="F21" s="169"/>
      <c r="G21" s="169"/>
      <c r="H21" s="170"/>
      <c r="I21" s="69" t="str">
        <f>IF(D21="","",SUM(E21:H21))</f>
        <v/>
      </c>
      <c r="J21" s="70" t="str">
        <f>IF(D21=4,1,"")</f>
        <v/>
      </c>
      <c r="K21" s="45" t="str">
        <f t="shared" si="8"/>
        <v/>
      </c>
      <c r="L21" s="45" t="str">
        <f t="shared" si="9"/>
        <v/>
      </c>
      <c r="M21" s="46">
        <v>589</v>
      </c>
      <c r="N21" s="47">
        <v>2.2999999999999998</v>
      </c>
      <c r="O21" s="46" t="str">
        <f t="shared" si="0"/>
        <v/>
      </c>
      <c r="P21" s="46" t="str">
        <f t="shared" si="1"/>
        <v/>
      </c>
      <c r="Q21" s="48" t="str">
        <f t="shared" si="3"/>
        <v/>
      </c>
      <c r="R21" s="18" t="str">
        <f>IF(AND(COUNTBLANK(E21:H21)&lt;4,D21=""),"Fach auswählen!",IF(OR(B21=B$36,B21=B$37,B21=B$38),IF(COUNTIF(E21:H21,0)&gt;0,"0 Punkte  =&gt; nicht best.!",""),""))</f>
        <v/>
      </c>
      <c r="S21" s="49"/>
      <c r="U21" s="7"/>
      <c r="V21" s="7"/>
      <c r="W21" s="7"/>
      <c r="X21" s="7"/>
      <c r="Y21" s="7"/>
      <c r="Z21" s="7"/>
      <c r="AA21" s="7"/>
      <c r="AG21" s="7" t="s">
        <v>14</v>
      </c>
    </row>
    <row r="22" spans="1:33" s="23" customFormat="1" ht="15.95" customHeight="1" thickBot="1">
      <c r="A22" s="65" t="s">
        <v>16</v>
      </c>
      <c r="B22" s="162"/>
      <c r="C22" s="163"/>
      <c r="D22" s="71" t="str">
        <f>IF(B21=W7,2,"")</f>
        <v/>
      </c>
      <c r="E22" s="167"/>
      <c r="F22" s="169"/>
      <c r="G22" s="169"/>
      <c r="H22" s="170"/>
      <c r="I22" s="72" t="str">
        <f>IF(D22="","",SUM(E22:H22))</f>
        <v/>
      </c>
      <c r="J22" s="73" t="str">
        <f t="shared" ref="J22:J29" si="10">IF(D22=2,1,"")</f>
        <v/>
      </c>
      <c r="K22" s="45" t="str">
        <f t="shared" si="8"/>
        <v/>
      </c>
      <c r="L22" s="45" t="str">
        <f t="shared" si="9"/>
        <v/>
      </c>
      <c r="M22" s="46">
        <v>607</v>
      </c>
      <c r="N22" s="47">
        <v>2.2000000000000002</v>
      </c>
      <c r="O22" s="46" t="str">
        <f t="shared" si="0"/>
        <v/>
      </c>
      <c r="P22" s="46" t="str">
        <f t="shared" si="1"/>
        <v/>
      </c>
      <c r="Q22" s="48" t="str">
        <f>IF(OR(B21=B$36,B21=B$37,B21=B$38),IF(COUNTBLANK(E21:H21)&gt;0,"Alle 4 Noten eintragen!",""),"")</f>
        <v/>
      </c>
      <c r="R22" s="18" t="str">
        <f>IF(AND(COUNTBLANK(E21:H21)&lt;4,D22=""),"Fach auswählen!",IF(OR(B22=B$36,B22=B$37,B22=B$38),IF(COUNTIF(E22:H22,0)&gt;0,"0 Punkte  =&gt; nicht best.!",""),""))</f>
        <v/>
      </c>
      <c r="S22" s="49"/>
      <c r="U22" s="7"/>
      <c r="V22" s="7"/>
      <c r="W22" s="7"/>
      <c r="X22" s="7"/>
      <c r="Y22" s="7"/>
      <c r="Z22" s="7"/>
      <c r="AA22" s="7"/>
      <c r="AG22" s="7"/>
    </row>
    <row r="23" spans="1:33" s="23" customFormat="1" ht="15.95" customHeight="1" thickBot="1">
      <c r="A23" s="50" t="s">
        <v>43</v>
      </c>
      <c r="B23" s="164"/>
      <c r="C23" s="165"/>
      <c r="D23" s="74" t="str">
        <f>IF(OR(B21=X3,B21=X4,B21=X5),2,"")</f>
        <v/>
      </c>
      <c r="E23" s="168"/>
      <c r="F23" s="169"/>
      <c r="G23" s="169"/>
      <c r="H23" s="170"/>
      <c r="I23" s="76" t="str">
        <f>IF(D23="","",SUM(E23:H23))</f>
        <v/>
      </c>
      <c r="J23" s="77" t="str">
        <f t="shared" si="10"/>
        <v/>
      </c>
      <c r="K23" s="45" t="str">
        <f t="shared" si="8"/>
        <v/>
      </c>
      <c r="L23" s="45" t="str">
        <f t="shared" si="9"/>
        <v/>
      </c>
      <c r="M23" s="46">
        <v>625</v>
      </c>
      <c r="N23" s="47">
        <v>2.1</v>
      </c>
      <c r="O23" s="46" t="str">
        <f t="shared" si="0"/>
        <v/>
      </c>
      <c r="P23" s="46" t="str">
        <f t="shared" si="1"/>
        <v/>
      </c>
      <c r="Q23" s="48" t="str">
        <f>IF(OR(B21=B$36,B21=B$37,B21=B$38),IF(COUNTBLANK(E21:H21)&gt;0,"Alle 4 Noten eintragen!",""),"")</f>
        <v/>
      </c>
      <c r="R23" s="18" t="str">
        <f>IF(AND(COUNTBLANK(E21:H21)&lt;4,D23=""),"Fach auswählen!",IF(OR(B23=B$36,B23=B$37,B23=B$38),IF(COUNTIF(E23:H23,0)&gt;0,"0 Punkte  =&gt; nicht best.!",""),""))</f>
        <v/>
      </c>
      <c r="S23" s="49"/>
      <c r="T23" s="7"/>
      <c r="U23" s="7"/>
      <c r="V23" s="7"/>
      <c r="W23" s="7"/>
      <c r="X23" s="7"/>
      <c r="Y23" s="7"/>
      <c r="Z23" s="7"/>
      <c r="AA23" s="7"/>
      <c r="AG23" s="7"/>
    </row>
    <row r="24" spans="1:33" s="23" customFormat="1" ht="15.95" customHeight="1" thickBot="1">
      <c r="A24" s="50" t="s">
        <v>46</v>
      </c>
      <c r="B24" s="141" t="s">
        <v>42</v>
      </c>
      <c r="C24" s="142"/>
      <c r="D24" s="27" t="str">
        <f>IF(OR(B24=Y3,B24=Y4,B24=Y5),2,"")</f>
        <v/>
      </c>
      <c r="E24" s="75"/>
      <c r="F24" s="67"/>
      <c r="G24" s="67"/>
      <c r="H24" s="68"/>
      <c r="I24" s="31" t="str">
        <f>IF(D24="","",SUM(E24:H24))</f>
        <v/>
      </c>
      <c r="J24" s="78" t="str">
        <f t="shared" si="10"/>
        <v/>
      </c>
      <c r="K24" s="45" t="str">
        <f t="shared" si="8"/>
        <v/>
      </c>
      <c r="L24" s="45" t="str">
        <f t="shared" si="9"/>
        <v/>
      </c>
      <c r="M24" s="46">
        <v>643</v>
      </c>
      <c r="N24" s="64">
        <v>2</v>
      </c>
      <c r="O24" s="46" t="str">
        <f t="shared" si="0"/>
        <v/>
      </c>
      <c r="P24" s="46" t="str">
        <f t="shared" si="1"/>
        <v/>
      </c>
      <c r="Q24" s="48" t="str">
        <f t="shared" si="3"/>
        <v/>
      </c>
      <c r="R24" s="18" t="str">
        <f t="shared" ref="R24:R27" si="11">IF(AND(COUNTBLANK(E24:H24)&lt;4,D24=""),"Fach auswählen!",IF(OR(B24=B$36,B24=B$37,B24=B$38),IF(COUNTIF(E24:H24,0)&gt;0,"0 Punkte  =&gt; nicht best.!",""),""))</f>
        <v/>
      </c>
      <c r="S24" s="49"/>
      <c r="U24" s="7"/>
      <c r="V24" s="7"/>
      <c r="W24" s="7"/>
      <c r="X24" s="7"/>
      <c r="Y24" s="7"/>
      <c r="Z24" s="7"/>
      <c r="AA24" s="7"/>
    </row>
    <row r="25" spans="1:33" s="23" customFormat="1" ht="15.95" customHeight="1" thickBot="1">
      <c r="A25" s="50" t="s">
        <v>51</v>
      </c>
      <c r="B25" s="141" t="s">
        <v>42</v>
      </c>
      <c r="C25" s="142"/>
      <c r="D25" s="27" t="str">
        <f>IF(OR(B25=Z3,B25=Z4,B25=Z5),2,"")</f>
        <v/>
      </c>
      <c r="E25" s="75"/>
      <c r="F25" s="67"/>
      <c r="G25" s="67"/>
      <c r="H25" s="68"/>
      <c r="I25" s="31" t="str">
        <f t="shared" ref="I25:I29" si="12">IF(D25="","",SUM(E25:H25))</f>
        <v/>
      </c>
      <c r="J25" s="78" t="str">
        <f t="shared" si="10"/>
        <v/>
      </c>
      <c r="K25" s="45" t="str">
        <f t="shared" si="8"/>
        <v/>
      </c>
      <c r="L25" s="45" t="str">
        <f t="shared" si="9"/>
        <v/>
      </c>
      <c r="M25" s="46">
        <v>661</v>
      </c>
      <c r="N25" s="47">
        <v>1.9</v>
      </c>
      <c r="O25" s="46" t="str">
        <f t="shared" si="0"/>
        <v/>
      </c>
      <c r="P25" s="46" t="str">
        <f t="shared" si="1"/>
        <v/>
      </c>
      <c r="Q25" s="48" t="str">
        <f>IF(COUNTBLANK(E25:H25)=0,"Nur 3 Kurse einzubringen!","")</f>
        <v/>
      </c>
      <c r="R25" s="18" t="str">
        <f t="shared" si="11"/>
        <v/>
      </c>
      <c r="S25" s="49"/>
      <c r="U25" s="7"/>
      <c r="V25" s="7"/>
      <c r="W25" s="7"/>
      <c r="X25" s="7"/>
      <c r="Y25" s="7"/>
      <c r="Z25" s="7"/>
      <c r="AA25" s="7"/>
    </row>
    <row r="26" spans="1:33" s="23" customFormat="1" ht="15.95" customHeight="1" thickBot="1">
      <c r="A26" s="50" t="s">
        <v>17</v>
      </c>
      <c r="B26" s="141" t="s">
        <v>42</v>
      </c>
      <c r="C26" s="142"/>
      <c r="D26" s="27" t="str">
        <f>IF(B26=AB4,2,"")</f>
        <v/>
      </c>
      <c r="E26" s="75"/>
      <c r="F26" s="67"/>
      <c r="G26" s="67"/>
      <c r="H26" s="68"/>
      <c r="I26" s="31" t="str">
        <f t="shared" si="12"/>
        <v/>
      </c>
      <c r="J26" s="78" t="str">
        <f t="shared" si="10"/>
        <v/>
      </c>
      <c r="K26" s="45" t="str">
        <f t="shared" si="8"/>
        <v/>
      </c>
      <c r="L26" s="45" t="str">
        <f t="shared" si="9"/>
        <v/>
      </c>
      <c r="M26" s="46">
        <v>679</v>
      </c>
      <c r="N26" s="47">
        <v>1.8</v>
      </c>
      <c r="O26" s="46" t="str">
        <f t="shared" si="0"/>
        <v/>
      </c>
      <c r="P26" s="46" t="str">
        <f>O26&amp;""&amp;P27</f>
        <v/>
      </c>
      <c r="Q26" s="48" t="str">
        <f t="shared" si="3"/>
        <v/>
      </c>
      <c r="R26" s="18" t="str">
        <f t="shared" si="11"/>
        <v/>
      </c>
      <c r="S26" s="49"/>
      <c r="U26" s="7"/>
      <c r="V26" s="7"/>
      <c r="W26" s="7"/>
      <c r="X26" s="7"/>
      <c r="Y26" s="7"/>
      <c r="Z26" s="7"/>
      <c r="AA26" s="7"/>
      <c r="AG26" s="7"/>
    </row>
    <row r="27" spans="1:33" s="23" customFormat="1" ht="15.95" customHeight="1" thickBot="1">
      <c r="A27" s="50" t="s">
        <v>57</v>
      </c>
      <c r="B27" s="141" t="s">
        <v>42</v>
      </c>
      <c r="C27" s="142"/>
      <c r="D27" s="27" t="str">
        <f>IF(OR(B27=AA3,B27=AA4),2,"")</f>
        <v/>
      </c>
      <c r="E27" s="75"/>
      <c r="F27" s="67"/>
      <c r="G27" s="67"/>
      <c r="H27" s="68"/>
      <c r="I27" s="31" t="str">
        <f t="shared" si="12"/>
        <v/>
      </c>
      <c r="J27" s="78" t="str">
        <f t="shared" si="10"/>
        <v/>
      </c>
      <c r="K27" s="45" t="str">
        <f t="shared" si="8"/>
        <v/>
      </c>
      <c r="L27" s="45" t="str">
        <f t="shared" si="9"/>
        <v/>
      </c>
      <c r="M27" s="46">
        <v>697</v>
      </c>
      <c r="N27" s="47">
        <v>1.7</v>
      </c>
      <c r="O27" s="46" t="str">
        <f t="shared" si="0"/>
        <v/>
      </c>
      <c r="P27" s="46" t="str">
        <f t="shared" si="1"/>
        <v/>
      </c>
      <c r="Q27" s="48" t="str">
        <f t="shared" si="3"/>
        <v/>
      </c>
      <c r="R27" s="18" t="str">
        <f t="shared" si="11"/>
        <v/>
      </c>
      <c r="S27" s="49"/>
      <c r="T27" s="7"/>
      <c r="U27" s="7"/>
      <c r="V27" s="7"/>
      <c r="W27" s="7"/>
      <c r="X27" s="7"/>
      <c r="Y27" s="7"/>
      <c r="Z27" s="7"/>
      <c r="AA27" s="7"/>
      <c r="AG27" s="7"/>
    </row>
    <row r="28" spans="1:33" s="23" customFormat="1" ht="15.95" customHeight="1" thickBot="1">
      <c r="A28" s="50" t="s">
        <v>18</v>
      </c>
      <c r="B28" s="141" t="s">
        <v>42</v>
      </c>
      <c r="C28" s="142"/>
      <c r="D28" s="27" t="str">
        <f>IF(OR(B28=AC3),2,"")</f>
        <v/>
      </c>
      <c r="E28" s="75"/>
      <c r="F28" s="67"/>
      <c r="G28" s="67"/>
      <c r="H28" s="68"/>
      <c r="I28" s="31" t="str">
        <f t="shared" si="12"/>
        <v/>
      </c>
      <c r="J28" s="78" t="str">
        <f t="shared" si="10"/>
        <v/>
      </c>
      <c r="K28" s="45" t="str">
        <f t="shared" si="8"/>
        <v/>
      </c>
      <c r="L28" s="45" t="str">
        <f t="shared" si="9"/>
        <v/>
      </c>
      <c r="M28" s="46">
        <v>715</v>
      </c>
      <c r="N28" s="47">
        <v>1.6</v>
      </c>
      <c r="O28" s="46" t="str">
        <f t="shared" si="0"/>
        <v/>
      </c>
      <c r="P28" s="46" t="str">
        <f t="shared" si="1"/>
        <v/>
      </c>
      <c r="Q28" s="48" t="str">
        <f t="shared" si="3"/>
        <v/>
      </c>
      <c r="R28" s="18" t="str">
        <f>IF(AND(COUNTBLANK(E28:H28)&lt;4,D28=""),"Fach auswählen!",IF(OR(B28=B$36,B28=B$37,B28=B$38),IF(COUNTIF(E28:H28,0)&gt;0,"0 Punkte  =&gt; nicht best.!",""),""))</f>
        <v/>
      </c>
      <c r="S28" s="49"/>
      <c r="U28" s="7"/>
      <c r="V28" s="7"/>
      <c r="W28" s="7"/>
      <c r="X28" s="7"/>
      <c r="Y28" s="7"/>
      <c r="Z28" s="7"/>
      <c r="AA28" s="7"/>
      <c r="AG28" s="7"/>
    </row>
    <row r="29" spans="1:33" s="23" customFormat="1" ht="15.95" customHeight="1" thickBot="1">
      <c r="A29" s="79" t="s">
        <v>52</v>
      </c>
      <c r="B29" s="171" t="s">
        <v>42</v>
      </c>
      <c r="C29" s="172"/>
      <c r="D29" s="27" t="str">
        <f>IF(B29=AD3,2,"")</f>
        <v/>
      </c>
      <c r="E29" s="75"/>
      <c r="F29" s="67"/>
      <c r="G29" s="67"/>
      <c r="H29" s="68"/>
      <c r="I29" s="31" t="str">
        <f t="shared" si="12"/>
        <v/>
      </c>
      <c r="J29" s="78" t="str">
        <f t="shared" si="10"/>
        <v/>
      </c>
      <c r="K29" s="45" t="str">
        <f t="shared" si="8"/>
        <v/>
      </c>
      <c r="L29" s="45" t="str">
        <f t="shared" si="9"/>
        <v/>
      </c>
      <c r="M29" s="46">
        <v>733</v>
      </c>
      <c r="N29" s="47">
        <v>1.5</v>
      </c>
      <c r="O29" s="46" t="str">
        <f t="shared" si="0"/>
        <v/>
      </c>
      <c r="P29" s="46" t="str">
        <f t="shared" si="1"/>
        <v/>
      </c>
      <c r="Q29" s="48" t="str">
        <f t="shared" si="3"/>
        <v/>
      </c>
      <c r="R29" s="18" t="str">
        <f>IF(AND(COUNTBLANK(E29:H29)&lt;4,D29=""),"Fach auswählen!",IF(OR(B29=B$36,B29=B$37,B29=B$38),IF(COUNTIF(E29:H29,0)&gt;0,"0 Punkte  =&gt; nicht best.!",""),""))</f>
        <v/>
      </c>
      <c r="S29" s="49"/>
      <c r="U29" s="7"/>
      <c r="V29" s="7"/>
      <c r="W29" s="7"/>
      <c r="X29" s="7"/>
      <c r="Y29" s="7"/>
      <c r="Z29" s="7"/>
      <c r="AA29" s="7"/>
      <c r="AG29" s="80"/>
    </row>
    <row r="30" spans="1:33" s="23" customFormat="1" ht="15.95" customHeight="1" thickBot="1">
      <c r="A30" s="173" t="s">
        <v>19</v>
      </c>
      <c r="B30" s="174"/>
      <c r="C30" s="175"/>
      <c r="D30" s="81">
        <f>SUM(D4:D29)</f>
        <v>28</v>
      </c>
      <c r="E30" s="183" t="s">
        <v>63</v>
      </c>
      <c r="F30" s="184"/>
      <c r="G30" s="184"/>
      <c r="H30" s="82">
        <f>COUNT(E4:H29)-COUNTIF(E4:H29,0)</f>
        <v>0</v>
      </c>
      <c r="I30" s="176" t="str">
        <f>IF(COUNTIF(J4:J29,2)&lt;3,"Faktor 3x auf 2 setzen!",IF(COUNTIF(J4:J29,2)&gt;3,"Faktor nur 3x auf 2 setzen!",""))</f>
        <v>Faktor 3x auf 2 setzen!</v>
      </c>
      <c r="J30" s="177"/>
      <c r="K30" s="177"/>
      <c r="L30" s="83"/>
      <c r="M30" s="46">
        <v>751</v>
      </c>
      <c r="N30" s="47">
        <v>1.4</v>
      </c>
      <c r="O30" s="46" t="str">
        <f t="shared" si="0"/>
        <v/>
      </c>
      <c r="P30" s="46" t="str">
        <f t="shared" si="1"/>
        <v/>
      </c>
      <c r="Q30" s="84"/>
      <c r="R30" s="18" t="str">
        <f>IF(AND(COUNTBLANK(E9:H9)&gt;0,COUNTBLANK(E20:H20)&gt;0),"4 N. in NW-Fach eintr.!",IF(OR(COUNTIF(E9:H9,0)&gt;0,COUNTIF(E20:H20,0)&gt;0),"0 Punkte  =&gt; nicht best.!",""))</f>
        <v>4 N. in NW-Fach eintr.!</v>
      </c>
      <c r="S30" s="86"/>
      <c r="U30" s="7"/>
      <c r="V30" s="7"/>
      <c r="W30" s="7"/>
      <c r="X30" s="7"/>
      <c r="Y30" s="7"/>
      <c r="Z30" s="7"/>
      <c r="AA30" s="7"/>
    </row>
    <row r="31" spans="1:33" ht="15.95" customHeight="1">
      <c r="A31" s="87"/>
      <c r="B31" s="48" t="str">
        <f>IF(OR(B20=B15,B21=B5,B24=B17,B26=B13,B26=B14,B29=B13,B29=B14),"Doppelbelegung!","")</f>
        <v/>
      </c>
      <c r="C31" s="137" t="str">
        <f>IF(D30&lt;34,"zu wenig Stunden/Semester","")</f>
        <v>zu wenig Stunden/Semester</v>
      </c>
      <c r="D31" s="137"/>
      <c r="E31" s="137"/>
      <c r="F31" s="103"/>
      <c r="G31" s="179" t="str">
        <f>IF(H30&lt;32,"zu wenig Kurse!","")</f>
        <v>zu wenig Kurse!</v>
      </c>
      <c r="H31" s="179"/>
      <c r="I31" s="178"/>
      <c r="J31" s="178"/>
      <c r="K31" s="178"/>
      <c r="L31" s="89"/>
      <c r="M31" s="33">
        <v>769</v>
      </c>
      <c r="N31" s="37">
        <v>1.3</v>
      </c>
      <c r="O31" s="33" t="str">
        <f t="shared" si="0"/>
        <v/>
      </c>
      <c r="P31" s="33" t="str">
        <f t="shared" si="1"/>
        <v/>
      </c>
      <c r="Q31" s="82"/>
      <c r="R31" s="18" t="str">
        <f>IF(AND(COUNTBLANK(E17:H17)&gt;0,COUNTBLANK(E24:H24)&gt;0),"4 N. in künstl. Fach eintr.!",IF(OR(COUNTIF(E17:H17,0)&gt;0,COUNTIF(E24:H24,0)&gt;0),"0 Punkte  =&gt; nicht best.!",""))</f>
        <v>4 N. in künstl. Fach eintr.!</v>
      </c>
    </row>
    <row r="32" spans="1:33" ht="15.95" customHeight="1" thickBot="1">
      <c r="A32" s="87"/>
      <c r="B32" s="103"/>
      <c r="C32" s="48"/>
      <c r="D32" s="48"/>
      <c r="E32" s="48"/>
      <c r="F32" s="179" t="str">
        <f>IF(COUNTIF(E4:H29,"&gt;15")&gt;0,"Notenwert(e) zu hoch!",IF(COUNTIF(E4:H29,"&lt;5")&gt;(H30/5),"zu viele Unterkurse!",""))</f>
        <v/>
      </c>
      <c r="G32" s="180"/>
      <c r="H32" s="180"/>
      <c r="I32" s="91"/>
      <c r="J32" s="91"/>
      <c r="K32" s="91"/>
      <c r="L32" s="89"/>
      <c r="M32" s="33">
        <v>787</v>
      </c>
      <c r="N32" s="37">
        <v>1.2</v>
      </c>
      <c r="O32" s="33" t="str">
        <f t="shared" si="0"/>
        <v/>
      </c>
      <c r="P32" s="33" t="str">
        <f t="shared" si="1"/>
        <v/>
      </c>
      <c r="Q32" s="137"/>
      <c r="R32" s="138"/>
    </row>
    <row r="33" spans="1:18" ht="15.95" customHeight="1" thickBot="1">
      <c r="A33" s="1" t="s">
        <v>67</v>
      </c>
      <c r="B33" s="92"/>
      <c r="C33" s="92"/>
      <c r="D33" s="92"/>
      <c r="E33" s="103"/>
      <c r="F33" s="103"/>
      <c r="G33" s="103"/>
      <c r="H33" s="103"/>
      <c r="I33" s="89"/>
      <c r="J33" s="89"/>
      <c r="K33" s="89"/>
      <c r="L33" s="89"/>
      <c r="M33" s="33">
        <v>805</v>
      </c>
      <c r="N33" s="37">
        <v>1.1000000000000001</v>
      </c>
      <c r="O33" s="33" t="str">
        <f>IF(P34&lt;&gt;"","",IF($F$38&gt;=M33,N33,""))</f>
        <v/>
      </c>
      <c r="P33" s="33" t="str">
        <f>O33&amp;""&amp;P34</f>
        <v/>
      </c>
      <c r="Q33" s="82"/>
      <c r="R33" s="90"/>
    </row>
    <row r="34" spans="1:18" ht="15.95" customHeight="1" thickBot="1">
      <c r="A34" s="93"/>
      <c r="B34" s="92"/>
      <c r="C34" s="94" t="s">
        <v>4</v>
      </c>
      <c r="D34" s="94" t="s">
        <v>73</v>
      </c>
      <c r="E34" s="103"/>
      <c r="F34" s="181" t="s">
        <v>74</v>
      </c>
      <c r="G34" s="182"/>
      <c r="H34" s="103"/>
      <c r="I34" s="181" t="s">
        <v>76</v>
      </c>
      <c r="J34" s="182"/>
      <c r="K34" s="89"/>
      <c r="L34" s="89"/>
      <c r="M34" s="33">
        <v>823</v>
      </c>
      <c r="N34" s="34">
        <v>1</v>
      </c>
      <c r="O34" s="33" t="str">
        <f>IF($F$38&gt;=M34,N34,"")</f>
        <v/>
      </c>
      <c r="P34" s="33" t="str">
        <f>O34</f>
        <v/>
      </c>
      <c r="Q34" s="82"/>
      <c r="R34" s="90"/>
    </row>
    <row r="35" spans="1:18" ht="15.95" customHeight="1" thickBot="1">
      <c r="A35" s="93" t="s">
        <v>68</v>
      </c>
      <c r="B35" s="95" t="s">
        <v>72</v>
      </c>
      <c r="C35" s="96" t="s">
        <v>64</v>
      </c>
      <c r="D35" s="97"/>
      <c r="E35" s="103"/>
      <c r="F35" s="185">
        <f>5*SUM(D35:D38)</f>
        <v>0</v>
      </c>
      <c r="G35" s="186"/>
      <c r="H35" s="103"/>
      <c r="I35" s="185" t="str">
        <f>IF(SUM(K4:K29)=0,"0",ROUND(SUM(K4:K29)/SUM(L4:L29)*40,0))</f>
        <v>0</v>
      </c>
      <c r="J35" s="186"/>
      <c r="K35" s="89"/>
      <c r="L35" s="89"/>
      <c r="M35" s="33"/>
      <c r="N35" s="98"/>
      <c r="O35" s="33"/>
      <c r="P35" s="33" t="str">
        <f>P34&amp;""&amp;O35</f>
        <v/>
      </c>
      <c r="Q35" s="82"/>
      <c r="R35" s="18"/>
    </row>
    <row r="36" spans="1:18" ht="15.95" customHeight="1" thickBot="1">
      <c r="A36" s="93" t="s">
        <v>69</v>
      </c>
      <c r="B36" s="99"/>
      <c r="C36" s="96" t="s">
        <v>64</v>
      </c>
      <c r="D36" s="97"/>
      <c r="E36" s="103"/>
      <c r="F36" s="191" t="str">
        <f>IF(F35&lt;100,"nicht best. (&lt;100P.)","")</f>
        <v>nicht best. (&lt;100P.)</v>
      </c>
      <c r="G36" s="191"/>
      <c r="H36" s="103"/>
      <c r="I36" s="191" t="str">
        <f>IF(I35&lt;200,"nicht best. (&lt;200P.)","")</f>
        <v/>
      </c>
      <c r="J36" s="191"/>
      <c r="K36" s="89"/>
      <c r="L36" s="89"/>
      <c r="M36" s="33"/>
      <c r="N36" s="98"/>
      <c r="O36" s="33"/>
      <c r="P36" s="33"/>
      <c r="Q36" s="82"/>
      <c r="R36" s="18"/>
    </row>
    <row r="37" spans="1:18" ht="15.95" customHeight="1" thickBot="1">
      <c r="A37" s="93" t="s">
        <v>70</v>
      </c>
      <c r="B37" s="99"/>
      <c r="C37" s="100" t="s">
        <v>66</v>
      </c>
      <c r="D37" s="97"/>
      <c r="E37" s="103"/>
      <c r="F37" s="181" t="s">
        <v>78</v>
      </c>
      <c r="G37" s="182"/>
      <c r="H37" s="103"/>
      <c r="I37" s="192" t="s">
        <v>79</v>
      </c>
      <c r="J37" s="193"/>
      <c r="K37" s="89"/>
      <c r="L37" s="89"/>
      <c r="M37" s="89"/>
      <c r="N37" s="89"/>
      <c r="O37" s="89"/>
      <c r="P37" s="89"/>
      <c r="Q37" s="82"/>
      <c r="R37" s="18"/>
    </row>
    <row r="38" spans="1:18" ht="15.95" customHeight="1" thickBot="1">
      <c r="A38" s="93" t="s">
        <v>71</v>
      </c>
      <c r="B38" s="99"/>
      <c r="C38" s="100" t="s">
        <v>66</v>
      </c>
      <c r="D38" s="97"/>
      <c r="E38" s="103"/>
      <c r="F38" s="185">
        <f>F35+I35</f>
        <v>0</v>
      </c>
      <c r="G38" s="186"/>
      <c r="H38" s="103"/>
      <c r="I38" s="194" t="str">
        <f>IF(AND(A39="",A40="",A41="",A42="",A43="",B39="",B40="",B41="",B42="",B43="",C39="",C40="",F36="",I36="",G31="",I30="",Q3="",Q4="",Q5="",Q6="",Q7="",Q8="",Q9="",Q10="",Q11="",Q12="",Q13="",Q14="",Q15="",Q16="",Q17="",Q18="",Q19="",Q20="",Q21="",Q22="",Q23="",Q24="",Q25="",Q26="",Q27="",Q28="",Q30="",Q32="",R3="",R4="",R5="",R8="",R9="",R10="",R11="",R12="",R13="",R14="",R15="",R16="",R17="",R18="",R19="",R20="",R21="",R22="",R23="",R24="",R25="",R26="",R27="",R28="",R30="",R31=""),P4,"Fehler vorhanden")</f>
        <v>Fehler vorhanden</v>
      </c>
      <c r="J38" s="195"/>
      <c r="K38" s="89"/>
      <c r="L38" s="89"/>
      <c r="M38" s="89"/>
      <c r="N38" s="89"/>
      <c r="O38" s="89"/>
      <c r="P38" s="89"/>
      <c r="Q38" s="82"/>
      <c r="R38" s="18" t="str">
        <f>IF(COUNTIF(C35:C37,"EN")&lt;2,"mind. 2x EN wählen!","")</f>
        <v/>
      </c>
    </row>
    <row r="39" spans="1:18" ht="15.95" customHeight="1">
      <c r="A39" s="93"/>
      <c r="B39" s="102" t="str">
        <f>IF(COUNTIF(B35:B38,"Deutsch")+COUNTIF(B35:B38,"Mathematik")+COUNTIF(B35:B38,"Englisch")+COUNTIF(B35:B38,"Spanisch")+COUNTIF(B35:B38,"Französisch")+COUNTIF(B35:B38,"Latein")&lt;2,"2 Kernfächer wählen!",IF(OR(B35=B36,B35=B37,B35=B38,B36=B37,B36=B38,B37=B38),"versch. Fächer wählen!",""))</f>
        <v>2 Kernfächer wählen!</v>
      </c>
      <c r="C39" s="187" t="str">
        <f>IF(COUNTIF(D35:D38,"&lt;5")&gt;2,"nicht best. (3-4mal &lt; 5 P.)","")</f>
        <v/>
      </c>
      <c r="D39" s="188"/>
      <c r="E39" s="188"/>
      <c r="F39" s="189"/>
      <c r="G39" s="189"/>
      <c r="H39" s="103"/>
      <c r="I39" s="89"/>
      <c r="J39" s="89"/>
      <c r="K39" s="89"/>
      <c r="L39" s="89"/>
      <c r="M39" s="89"/>
      <c r="N39" s="89"/>
      <c r="O39" s="89"/>
      <c r="P39" s="89"/>
      <c r="Q39" s="82"/>
      <c r="R39" s="90"/>
    </row>
    <row r="40" spans="1:18" ht="15.95" customHeight="1">
      <c r="A40" s="104" t="str">
        <f>IF(COUNTIF(B$4:B$29,B35)=1,"","1. Prüfungsfach in Block 1 nicht belegt!")</f>
        <v>1. Prüfungsfach in Block 1 nicht belegt!</v>
      </c>
      <c r="B40" s="105" t="str">
        <f>IF(COUNTIF(B35:B38,"Deutsch")+COUNTIF(B35:B38,"Englisch")+COUNTIF(B35:B38,"Spanisch")+COUNTIF(B35:B38,"Französisch")+COUNTIF(B35:B38,"Latein")+COUNTIF(B35:B38,"Kunst")+COUNTIF(B35:B38,"Musik")+COUNTIF(B35:B38,DSP)=0,"1. Aufgabenfeld fehlt!","")</f>
        <v>1. Aufgabenfeld fehlt!</v>
      </c>
      <c r="C40" s="187" t="str">
        <f>IF(OR(D35&gt;45,D36&gt;4),"",IF(AND(C37="EN",D37&gt;4),"",IF(AND(C38="EN",D38&gt;4),"","nicht bestanden (EN &lt; 5 P.)")))</f>
        <v>nicht bestanden (EN &lt; 5 P.)</v>
      </c>
      <c r="D40" s="190"/>
      <c r="E40" s="190"/>
      <c r="F40" s="103"/>
      <c r="G40" s="103"/>
      <c r="H40" s="103"/>
      <c r="I40" s="89"/>
      <c r="J40" s="89"/>
      <c r="K40" s="89"/>
      <c r="L40" s="89"/>
      <c r="M40" s="89"/>
      <c r="N40" s="89"/>
      <c r="O40" s="89"/>
      <c r="P40" s="89"/>
      <c r="Q40" s="82"/>
      <c r="R40" s="90"/>
    </row>
    <row r="41" spans="1:18" ht="15.95" customHeight="1">
      <c r="A41" s="104" t="str">
        <f>IF(COUNTIF(B$4:B$29,B36)=1,"","2. Prüfungsfach in Block 1 nicht belegt!")</f>
        <v>2. Prüfungsfach in Block 1 nicht belegt!</v>
      </c>
      <c r="B41" s="105" t="str">
        <f>IF(COUNTIF(B35:B38,"PGW")+COUNTIF(B35:B38,"Geschichte")+COUNTIF(B35:B38,"Geographie")+COUNTIF(B35:B38,"Religion")+COUNTIF(B35:B38,"Philosophie")+COUNTIF(B35:B38,"Pädagogik")+COUNTIF(B35:B38,"Psychologie")=0,"2. Aufgabenfeld fehlt!","")</f>
        <v>2. Aufgabenfeld fehlt!</v>
      </c>
      <c r="C41" s="106"/>
      <c r="D41" s="106"/>
      <c r="E41" s="106"/>
      <c r="F41" s="103"/>
      <c r="G41" s="103"/>
      <c r="H41" s="103"/>
      <c r="I41" s="89"/>
      <c r="J41" s="89"/>
      <c r="K41" s="89"/>
      <c r="L41" s="89"/>
      <c r="M41" s="89"/>
      <c r="N41" s="89"/>
      <c r="O41" s="89"/>
      <c r="P41" s="89"/>
      <c r="Q41" s="82"/>
      <c r="R41" s="90"/>
    </row>
    <row r="42" spans="1:18" ht="15.95" customHeight="1">
      <c r="A42" s="104" t="str">
        <f>IF(COUNTIF(B$4:B$29,B37)=1,"","3. Prüfungsfach in Block 1 nicht belegt!")</f>
        <v>3. Prüfungsfach in Block 1 nicht belegt!</v>
      </c>
      <c r="B42" s="105" t="str">
        <f>IF(COUNTIF(B35:B38,"Mathematik")+COUNTIF(B35:B38,"Biologie")+COUNTIF(B35:B38,"Chemie")+COUNTIF(B35:B38,"Physik")+COUNTIF(B35:B38,"Informatik")=0,"3. Aufgabenfeld fehlt!","")</f>
        <v>3. Aufgabenfeld fehlt!</v>
      </c>
      <c r="C42" s="92"/>
      <c r="D42" s="92"/>
      <c r="E42" s="103"/>
      <c r="F42" s="103"/>
      <c r="G42" s="103"/>
      <c r="H42" s="103"/>
      <c r="I42" s="89"/>
      <c r="J42" s="89"/>
      <c r="K42" s="89"/>
      <c r="L42" s="89"/>
      <c r="M42" s="89"/>
      <c r="N42" s="89"/>
      <c r="O42" s="89"/>
      <c r="P42" s="89"/>
      <c r="Q42" s="82"/>
      <c r="R42" s="90"/>
    </row>
    <row r="43" spans="1:18" ht="15.95" customHeight="1" thickBot="1">
      <c r="A43" s="107" t="str">
        <f>IF(COUNTIF(B$4:B$29,B38)=1,"","4. Prüfungsfach in Block 1 nicht belegt!")</f>
        <v>4. Prüfungsfach in Block 1 nicht belegt!</v>
      </c>
      <c r="B43" s="108" t="str">
        <f>IF(COUNTIF(B35:B38,B8)=0,"profilgeb. Fach fehlt!","")</f>
        <v>profilgeb. Fach fehlt!</v>
      </c>
      <c r="C43" s="109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1"/>
      <c r="R43" s="112"/>
    </row>
  </sheetData>
  <mergeCells count="50">
    <mergeCell ref="A4:A6"/>
    <mergeCell ref="B7:C7"/>
    <mergeCell ref="Q7:R7"/>
    <mergeCell ref="B9:C9"/>
    <mergeCell ref="B10:C10"/>
    <mergeCell ref="B20:C20"/>
    <mergeCell ref="B21:C23"/>
    <mergeCell ref="B14:C14"/>
    <mergeCell ref="C1:I1"/>
    <mergeCell ref="Q2:R2"/>
    <mergeCell ref="O3:P3"/>
    <mergeCell ref="B11:C11"/>
    <mergeCell ref="B12:C12"/>
    <mergeCell ref="B13:C13"/>
    <mergeCell ref="Q12:R12"/>
    <mergeCell ref="B15:C15"/>
    <mergeCell ref="B16:C16"/>
    <mergeCell ref="B17:C17"/>
    <mergeCell ref="B18:C18"/>
    <mergeCell ref="B19:C19"/>
    <mergeCell ref="E21:E23"/>
    <mergeCell ref="F21:F23"/>
    <mergeCell ref="G21:G23"/>
    <mergeCell ref="H21:H23"/>
    <mergeCell ref="B25:C25"/>
    <mergeCell ref="B24:C24"/>
    <mergeCell ref="B26:C26"/>
    <mergeCell ref="B27:C27"/>
    <mergeCell ref="B28:C28"/>
    <mergeCell ref="B29:C29"/>
    <mergeCell ref="F37:G37"/>
    <mergeCell ref="I37:J37"/>
    <mergeCell ref="E30:G30"/>
    <mergeCell ref="I30:K31"/>
    <mergeCell ref="C31:E31"/>
    <mergeCell ref="G31:H31"/>
    <mergeCell ref="F32:H32"/>
    <mergeCell ref="F34:G34"/>
    <mergeCell ref="I34:J34"/>
    <mergeCell ref="A30:C30"/>
    <mergeCell ref="Q32:R32"/>
    <mergeCell ref="F35:G35"/>
    <mergeCell ref="I35:J35"/>
    <mergeCell ref="F36:G36"/>
    <mergeCell ref="I36:J36"/>
    <mergeCell ref="F38:G38"/>
    <mergeCell ref="I38:J38"/>
    <mergeCell ref="C39:E39"/>
    <mergeCell ref="F39:G39"/>
    <mergeCell ref="C40:E40"/>
  </mergeCells>
  <dataValidations count="18">
    <dataValidation type="list" showInputMessage="1" showErrorMessage="1" sqref="B36:B38">
      <formula1>$AG$3:$AG$21</formula1>
    </dataValidation>
    <dataValidation type="list" showInputMessage="1" showErrorMessage="1" sqref="J9 J15 J4:J6 J20:J21">
      <formula1>$AF$3:$AF$4</formula1>
    </dataValidation>
    <dataValidation type="list" showInputMessage="1" showErrorMessage="1" sqref="C4:C6">
      <formula1>$AE$3:$AE$4</formula1>
    </dataValidation>
    <dataValidation type="list" showInputMessage="1" showErrorMessage="1" sqref="B35">
      <formula1>$T$9:$T$14</formula1>
    </dataValidation>
    <dataValidation type="list" allowBlank="1" showInputMessage="1" showErrorMessage="1" sqref="B24:C24">
      <formula1>$Y$3:$Y$6</formula1>
    </dataValidation>
    <dataValidation type="list" allowBlank="1" showInputMessage="1" showErrorMessage="1" sqref="B21:B23">
      <formula1>$W$3:$W$11</formula1>
    </dataValidation>
    <dataValidation type="list" allowBlank="1" showInputMessage="1" showErrorMessage="1" sqref="B26:C26">
      <formula1>$AB$4:$AB$5</formula1>
    </dataValidation>
    <dataValidation type="list" allowBlank="1" showInputMessage="1" showErrorMessage="1" sqref="B27:C27">
      <formula1>$AA$3:$AA$5</formula1>
    </dataValidation>
    <dataValidation type="list" allowBlank="1" showInputMessage="1" showErrorMessage="1" sqref="B28:C28">
      <formula1>$AC$3:$AC$4</formula1>
    </dataValidation>
    <dataValidation type="list" allowBlank="1" showInputMessage="1" showErrorMessage="1" sqref="B25:C25">
      <formula1>$Z$3:$Z$6</formula1>
    </dataValidation>
    <dataValidation type="list" allowBlank="1" showInputMessage="1" showErrorMessage="1" sqref="B20:C20">
      <formula1>$V$4:$V$6</formula1>
    </dataValidation>
    <dataValidation type="list" showInputMessage="1" showErrorMessage="1" sqref="B16:C16">
      <formula1>$U$3:$U$4</formula1>
    </dataValidation>
    <dataValidation type="list" showInputMessage="1" showErrorMessage="1" sqref="B15:C15">
      <formula1>$V$3:$V$5</formula1>
    </dataValidation>
    <dataValidation type="list" showInputMessage="1" showErrorMessage="1" sqref="B5">
      <formula1>T3:T6</formula1>
    </dataValidation>
    <dataValidation type="list" allowBlank="1" showInputMessage="1" showErrorMessage="1" sqref="B29:C29">
      <formula1>$AD$3:$AD$5</formula1>
    </dataValidation>
    <dataValidation type="list" showInputMessage="1" showErrorMessage="1" sqref="B17:C17">
      <formula1>$Y$3:$Y$5</formula1>
    </dataValidation>
    <dataValidation type="list" showInputMessage="1" showErrorMessage="1" sqref="B14:C14">
      <formula1>$AB$3:$AB$4</formula1>
    </dataValidation>
    <dataValidation type="list" allowBlank="1" showInputMessage="1" showErrorMessage="1" sqref="C37:C38">
      <formula1>$AE$3:$AE$4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43"/>
  <sheetViews>
    <sheetView workbookViewId="0"/>
  </sheetViews>
  <sheetFormatPr baseColWidth="10" defaultRowHeight="15.95" customHeight="1"/>
  <cols>
    <col min="1" max="1" width="47.140625" style="8" customWidth="1"/>
    <col min="2" max="2" width="20.5703125" style="8" customWidth="1"/>
    <col min="3" max="10" width="8.7109375" style="8" customWidth="1"/>
    <col min="11" max="16" width="8.7109375" style="8" hidden="1" customWidth="1"/>
    <col min="17" max="17" width="23" style="6" customWidth="1"/>
    <col min="18" max="18" width="23.28515625" style="6" customWidth="1"/>
    <col min="19" max="19" width="16" style="6" hidden="1" customWidth="1"/>
    <col min="20" max="21" width="10.42578125" style="7" hidden="1" customWidth="1"/>
    <col min="22" max="22" width="8.5703125" style="7" hidden="1" customWidth="1"/>
    <col min="23" max="23" width="12.140625" style="7" hidden="1" customWidth="1"/>
    <col min="24" max="24" width="11.42578125" style="7" hidden="1" customWidth="1"/>
    <col min="25" max="25" width="7.28515625" style="7" hidden="1" customWidth="1"/>
    <col min="26" max="26" width="9.28515625" style="7" hidden="1" customWidth="1"/>
    <col min="27" max="27" width="19.28515625" style="7" hidden="1" customWidth="1"/>
    <col min="28" max="30" width="11.42578125" style="8" hidden="1" customWidth="1"/>
    <col min="31" max="31" width="3.85546875" style="8" hidden="1" customWidth="1"/>
    <col min="32" max="32" width="3.42578125" style="8" hidden="1" customWidth="1"/>
    <col min="33" max="33" width="11.42578125" style="8" hidden="1" customWidth="1"/>
    <col min="34" max="16384" width="11.42578125" style="8"/>
  </cols>
  <sheetData>
    <row r="1" spans="1:33" ht="15.95" customHeight="1" thickBot="1">
      <c r="A1" s="1" t="s">
        <v>82</v>
      </c>
      <c r="B1" s="3"/>
      <c r="C1" s="139" t="s">
        <v>87</v>
      </c>
      <c r="D1" s="139"/>
      <c r="E1" s="139"/>
      <c r="F1" s="139"/>
      <c r="G1" s="139"/>
      <c r="H1" s="139"/>
      <c r="I1" s="140"/>
      <c r="J1" s="3"/>
      <c r="K1" s="3"/>
      <c r="L1" s="3"/>
      <c r="M1" s="3"/>
      <c r="N1" s="3"/>
      <c r="O1" s="3"/>
      <c r="P1" s="3"/>
      <c r="Q1" s="4"/>
      <c r="R1" s="5"/>
    </row>
    <row r="2" spans="1:33" ht="15.95" customHeight="1" thickBot="1">
      <c r="A2" s="9"/>
      <c r="B2" s="10"/>
      <c r="C2" s="10"/>
      <c r="D2" s="10"/>
      <c r="E2" s="10"/>
      <c r="F2" s="10"/>
      <c r="G2" s="10"/>
      <c r="H2" s="10"/>
      <c r="Q2" s="143" t="str">
        <f>IF(I38="Fehler vorhanden","Fehlermeldungen","")</f>
        <v>Fehlermeldungen</v>
      </c>
      <c r="R2" s="144"/>
    </row>
    <row r="3" spans="1:33" s="23" customFormat="1" ht="15.95" customHeight="1" thickBot="1">
      <c r="A3" s="11" t="s">
        <v>3</v>
      </c>
      <c r="B3" s="39"/>
      <c r="C3" s="11" t="s">
        <v>4</v>
      </c>
      <c r="D3" s="13" t="s">
        <v>5</v>
      </c>
      <c r="E3" s="14" t="s">
        <v>59</v>
      </c>
      <c r="F3" s="11" t="s">
        <v>60</v>
      </c>
      <c r="G3" s="11" t="s">
        <v>61</v>
      </c>
      <c r="H3" s="135" t="s">
        <v>61</v>
      </c>
      <c r="I3" s="14" t="s">
        <v>0</v>
      </c>
      <c r="J3" s="11" t="s">
        <v>62</v>
      </c>
      <c r="K3" s="15" t="s">
        <v>75</v>
      </c>
      <c r="L3" s="15" t="s">
        <v>77</v>
      </c>
      <c r="M3" s="16" t="s">
        <v>1</v>
      </c>
      <c r="N3" s="16" t="s">
        <v>2</v>
      </c>
      <c r="O3" s="145" t="s">
        <v>80</v>
      </c>
      <c r="P3" s="145"/>
      <c r="Q3" s="48"/>
      <c r="R3" s="18" t="str">
        <f>IF(COUNTIF(C4:C6,"EN")&lt;2,"mind. 2x EN wählen!","")</f>
        <v>mind. 2x EN wählen!</v>
      </c>
      <c r="S3" s="19" t="s">
        <v>83</v>
      </c>
      <c r="T3" s="20" t="s">
        <v>20</v>
      </c>
      <c r="U3" s="7" t="s">
        <v>23</v>
      </c>
      <c r="V3" s="7" t="s">
        <v>25</v>
      </c>
      <c r="W3" s="20" t="s">
        <v>20</v>
      </c>
      <c r="X3" s="7" t="s">
        <v>30</v>
      </c>
      <c r="Y3" s="7" t="s">
        <v>33</v>
      </c>
      <c r="Z3" s="7" t="s">
        <v>35</v>
      </c>
      <c r="AA3" s="7" t="s">
        <v>32</v>
      </c>
      <c r="AB3" s="21" t="s">
        <v>9</v>
      </c>
      <c r="AC3" s="7" t="s">
        <v>39</v>
      </c>
      <c r="AD3" s="22" t="s">
        <v>9</v>
      </c>
      <c r="AE3" s="7" t="s">
        <v>64</v>
      </c>
      <c r="AF3" s="23">
        <v>1</v>
      </c>
      <c r="AG3" s="24" t="s">
        <v>6</v>
      </c>
    </row>
    <row r="4" spans="1:33" s="23" customFormat="1" ht="15.95" customHeight="1" thickBot="1">
      <c r="A4" s="156" t="s">
        <v>81</v>
      </c>
      <c r="B4" s="25" t="s">
        <v>6</v>
      </c>
      <c r="C4" s="26" t="s">
        <v>66</v>
      </c>
      <c r="D4" s="27">
        <v>4</v>
      </c>
      <c r="E4" s="75"/>
      <c r="F4" s="67"/>
      <c r="G4" s="67"/>
      <c r="H4" s="68"/>
      <c r="I4" s="31">
        <f>SUM(E4:H4)</f>
        <v>0</v>
      </c>
      <c r="J4" s="67">
        <f>IF(AND(C4="EN",OR(B4=B$35,B4=B$36,B4=B$37)),2,1)</f>
        <v>1</v>
      </c>
      <c r="K4" s="32">
        <f>IF(OR(J4=1,J4=2),I4*J4,"")</f>
        <v>0</v>
      </c>
      <c r="L4" s="32">
        <f>COUNT(E4:H4)*J4</f>
        <v>0</v>
      </c>
      <c r="M4" s="33">
        <v>300</v>
      </c>
      <c r="N4" s="34">
        <v>4</v>
      </c>
      <c r="O4" s="33" t="str">
        <f t="shared" ref="O4:O32" si="0">IF(P5&lt;&gt;"","",IF($F$38&gt;=M4,N4,""))</f>
        <v/>
      </c>
      <c r="P4" s="33" t="str">
        <f t="shared" ref="P4:P32" si="1">O4&amp;""&amp;P5</f>
        <v/>
      </c>
      <c r="Q4" s="48" t="str">
        <f>IF(COUNTBLANK(E4:H4)&gt;0,"Alle 4 Noten eintragen!",IF(COUNTIF(E4:H4,0)&gt;0,"0 Punkte  =&gt; nicht best.!",""))</f>
        <v>Alle 4 Noten eintragen!</v>
      </c>
      <c r="R4" s="18" t="str">
        <f>IF(C4="Niveau?","Niveau wählen!","")</f>
        <v>Niveau wählen!</v>
      </c>
      <c r="S4" s="35" t="str">
        <f>IF(J4=2,IF(AND(OR(B4=B$35,B4=B$36,B4=B$37),C4="EN"),"ja","nein"),"")</f>
        <v/>
      </c>
      <c r="T4" s="7" t="s">
        <v>21</v>
      </c>
      <c r="U4" s="7" t="s">
        <v>24</v>
      </c>
      <c r="V4" s="7" t="s">
        <v>26</v>
      </c>
      <c r="W4" s="7" t="s">
        <v>21</v>
      </c>
      <c r="X4" s="7" t="s">
        <v>31</v>
      </c>
      <c r="Y4" s="7" t="s">
        <v>49</v>
      </c>
      <c r="Z4" s="7" t="s">
        <v>36</v>
      </c>
      <c r="AA4" s="7" t="s">
        <v>38</v>
      </c>
      <c r="AB4" s="7" t="s">
        <v>41</v>
      </c>
      <c r="AC4" s="7" t="s">
        <v>42</v>
      </c>
      <c r="AD4" s="22" t="s">
        <v>11</v>
      </c>
      <c r="AE4" s="7" t="s">
        <v>65</v>
      </c>
      <c r="AF4" s="23">
        <v>2</v>
      </c>
      <c r="AG4" s="7" t="s">
        <v>7</v>
      </c>
    </row>
    <row r="5" spans="1:33" s="23" customFormat="1" ht="15.95" customHeight="1" thickBot="1">
      <c r="A5" s="157"/>
      <c r="B5" s="62" t="s">
        <v>84</v>
      </c>
      <c r="C5" s="26" t="s">
        <v>66</v>
      </c>
      <c r="D5" s="27">
        <v>4</v>
      </c>
      <c r="E5" s="75"/>
      <c r="F5" s="67"/>
      <c r="G5" s="67"/>
      <c r="H5" s="68"/>
      <c r="I5" s="31">
        <f>SUM(E5:H5)</f>
        <v>0</v>
      </c>
      <c r="J5" s="67">
        <f>IF(AND(C5="EN",OR(B5=B$35,B5=B$36,B5=B$37)),2,1)</f>
        <v>1</v>
      </c>
      <c r="K5" s="32">
        <f>IF(OR(J5=1,J5=2),I5*J5,"")</f>
        <v>0</v>
      </c>
      <c r="L5" s="32">
        <f>COUNT(E5:H5)*J5</f>
        <v>0</v>
      </c>
      <c r="M5" s="33">
        <v>301</v>
      </c>
      <c r="N5" s="37">
        <v>3.9</v>
      </c>
      <c r="O5" s="33" t="str">
        <f t="shared" si="0"/>
        <v/>
      </c>
      <c r="P5" s="33" t="str">
        <f t="shared" si="1"/>
        <v/>
      </c>
      <c r="Q5" s="48" t="str">
        <f>IF(COUNTBLANK(E5:H5)&gt;0,"Alle 4 Noten eintragen!",IF(COUNTIF(E5:H5,0)&gt;0,"0 Punkte  =&gt; nicht best.!",""))</f>
        <v>Alle 4 Noten eintragen!</v>
      </c>
      <c r="R5" s="18" t="str">
        <f>IF(C5="Niveau?","Niveau wählen!","")</f>
        <v>Niveau wählen!</v>
      </c>
      <c r="S5" s="35" t="str">
        <f t="shared" ref="S5:S6" si="2">IF(J5=2,IF(AND(OR(B5=B$35,B5=B$36,B5=B$37),C5="EN"),"ja","nein"),"")</f>
        <v/>
      </c>
      <c r="T5" s="24" t="s">
        <v>28</v>
      </c>
      <c r="U5" s="7"/>
      <c r="V5" s="7" t="s">
        <v>27</v>
      </c>
      <c r="W5" s="24" t="s">
        <v>28</v>
      </c>
      <c r="X5" s="7" t="s">
        <v>32</v>
      </c>
      <c r="Y5" s="7" t="s">
        <v>34</v>
      </c>
      <c r="Z5" s="7" t="s">
        <v>37</v>
      </c>
      <c r="AA5" s="7" t="s">
        <v>42</v>
      </c>
      <c r="AB5" s="7" t="s">
        <v>42</v>
      </c>
      <c r="AD5" s="22" t="s">
        <v>42</v>
      </c>
      <c r="AG5" s="20" t="s">
        <v>20</v>
      </c>
    </row>
    <row r="6" spans="1:33" s="23" customFormat="1" ht="15.95" customHeight="1" thickBot="1">
      <c r="A6" s="158"/>
      <c r="B6" s="25" t="s">
        <v>7</v>
      </c>
      <c r="C6" s="26" t="s">
        <v>66</v>
      </c>
      <c r="D6" s="27">
        <v>4</v>
      </c>
      <c r="E6" s="75"/>
      <c r="F6" s="67"/>
      <c r="G6" s="67"/>
      <c r="H6" s="68"/>
      <c r="I6" s="31">
        <f>SUM(E6:H6)</f>
        <v>0</v>
      </c>
      <c r="J6" s="67">
        <f>IF(AND(C6="EN",OR(B6=B$35,B6=B$36,B6=B$37)),2,1)</f>
        <v>1</v>
      </c>
      <c r="K6" s="32">
        <f>IF(OR(J6=1,J6=2),I6*J6,"")</f>
        <v>0</v>
      </c>
      <c r="L6" s="32">
        <f>COUNT(E6:H6)*J6</f>
        <v>0</v>
      </c>
      <c r="M6" s="33">
        <v>319</v>
      </c>
      <c r="N6" s="37">
        <v>3.8</v>
      </c>
      <c r="O6" s="33" t="str">
        <f t="shared" si="0"/>
        <v/>
      </c>
      <c r="P6" s="33" t="str">
        <f t="shared" si="1"/>
        <v/>
      </c>
      <c r="Q6" s="48" t="str">
        <f>IF(COUNTBLANK(E6:H6)&gt;0,"Alle 4 Noten eintragen!",IF(COUNTIF(E6:H6,0)&gt;0,"0 Punkte  =&gt; nicht best.!",""))</f>
        <v>Alle 4 Noten eintragen!</v>
      </c>
      <c r="R6" s="18" t="str">
        <f>IF(C6="Niveau?","Niveau wählen!","")</f>
        <v>Niveau wählen!</v>
      </c>
      <c r="S6" s="35" t="str">
        <f t="shared" si="2"/>
        <v/>
      </c>
      <c r="T6" s="7" t="s">
        <v>22</v>
      </c>
      <c r="U6" s="7"/>
      <c r="V6" s="7" t="s">
        <v>42</v>
      </c>
      <c r="W6" s="7" t="s">
        <v>22</v>
      </c>
      <c r="X6" s="7" t="s">
        <v>42</v>
      </c>
      <c r="Y6" s="7" t="s">
        <v>42</v>
      </c>
      <c r="Z6" s="7" t="s">
        <v>42</v>
      </c>
      <c r="AA6" s="7"/>
      <c r="AG6" s="7" t="s">
        <v>21</v>
      </c>
    </row>
    <row r="7" spans="1:33" s="23" customFormat="1" ht="15.95" customHeight="1" thickBot="1">
      <c r="A7" s="38" t="s">
        <v>8</v>
      </c>
      <c r="B7" s="148"/>
      <c r="C7" s="149"/>
      <c r="D7" s="40"/>
      <c r="E7" s="41"/>
      <c r="F7" s="42"/>
      <c r="G7" s="42"/>
      <c r="H7" s="43"/>
      <c r="I7" s="44"/>
      <c r="J7" s="42"/>
      <c r="K7" s="45"/>
      <c r="L7" s="45"/>
      <c r="M7" s="46">
        <v>337</v>
      </c>
      <c r="N7" s="47">
        <v>3.7</v>
      </c>
      <c r="O7" s="46" t="str">
        <f t="shared" si="0"/>
        <v/>
      </c>
      <c r="P7" s="46" t="str">
        <f t="shared" si="1"/>
        <v/>
      </c>
      <c r="Q7" s="137" t="str">
        <f>IF(COUNTIF(J4:J6,2)=0,"Faktor e. EN-Kern- u. schr. Pr.fachs muss 2 sein!",IF(AND(COUNTIF(J4:J6,2)=1,S7=1),"Faktor e. EN-Kern u. schr. Pr.fachs muss 2 sein!",IF(AND(COUNTIF(J4:J6,2)=2,S7=2),"Faktor e. EN-Kern u. schr. Pr.fachs muss 2 sein!",IF(AND(COUNTIF(J4:J6,2)=3,S7=3),"Faktor e. EN-Kern u. schr. Pr.fachs muss 2 sein!",""))))</f>
        <v>Faktor e. EN-Kern- u. schr. Pr.fachs muss 2 sein!</v>
      </c>
      <c r="R7" s="159"/>
      <c r="S7" s="49">
        <f>COUNTIF(S4:S6,"nein")</f>
        <v>0</v>
      </c>
      <c r="T7" s="24"/>
      <c r="U7" s="7"/>
      <c r="V7" s="7"/>
      <c r="W7" s="7" t="s">
        <v>29</v>
      </c>
      <c r="X7" s="7"/>
      <c r="Y7" s="7"/>
      <c r="Z7" s="7"/>
      <c r="AA7" s="7"/>
      <c r="AG7" s="24" t="s">
        <v>28</v>
      </c>
    </row>
    <row r="8" spans="1:33" s="23" customFormat="1" ht="15.95" customHeight="1" thickBot="1">
      <c r="A8" s="50" t="s">
        <v>44</v>
      </c>
      <c r="B8" s="53" t="s">
        <v>25</v>
      </c>
      <c r="C8" s="52" t="s">
        <v>64</v>
      </c>
      <c r="D8" s="27">
        <v>4</v>
      </c>
      <c r="E8" s="75"/>
      <c r="F8" s="67"/>
      <c r="G8" s="67"/>
      <c r="H8" s="68"/>
      <c r="I8" s="31">
        <f>SUM(E8:H8)</f>
        <v>0</v>
      </c>
      <c r="J8" s="52">
        <v>2</v>
      </c>
      <c r="K8" s="45">
        <f>IF(OR(J8=1,J8=2),I8*J8,"")</f>
        <v>0</v>
      </c>
      <c r="L8" s="45">
        <f>COUNT(E8:H8)*J8</f>
        <v>0</v>
      </c>
      <c r="M8" s="46">
        <v>355</v>
      </c>
      <c r="N8" s="47">
        <v>3.6</v>
      </c>
      <c r="O8" s="46" t="str">
        <f t="shared" si="0"/>
        <v/>
      </c>
      <c r="P8" s="46" t="str">
        <f t="shared" si="1"/>
        <v/>
      </c>
      <c r="Q8" s="48" t="str">
        <f>IF(COUNTBLANK(E8:H8)&gt;0,"Alle 4 Noten eintragen!","")</f>
        <v>Alle 4 Noten eintragen!</v>
      </c>
      <c r="R8" s="18" t="str">
        <f>IF(OR(B8=B$36,B8=B$37,B8=B$38),IF(COUNTIF(E8:H8,0)&gt;0,"0 Punkte  =&gt; nicht best.!",""),"")</f>
        <v/>
      </c>
      <c r="S8" s="49"/>
      <c r="T8" s="24"/>
      <c r="U8" s="7"/>
      <c r="V8" s="7"/>
      <c r="W8" s="7" t="s">
        <v>30</v>
      </c>
      <c r="X8" s="7"/>
      <c r="Y8" s="7"/>
      <c r="Z8" s="7"/>
      <c r="AA8" s="7"/>
      <c r="AG8" s="7" t="s">
        <v>22</v>
      </c>
    </row>
    <row r="9" spans="1:33" s="23" customFormat="1" ht="15.95" customHeight="1" thickBot="1">
      <c r="A9" s="50" t="s">
        <v>45</v>
      </c>
      <c r="B9" s="146" t="s">
        <v>41</v>
      </c>
      <c r="C9" s="147"/>
      <c r="D9" s="27">
        <v>4</v>
      </c>
      <c r="E9" s="75"/>
      <c r="F9" s="67"/>
      <c r="G9" s="67"/>
      <c r="H9" s="68"/>
      <c r="I9" s="31">
        <f>SUM(E9:H9)</f>
        <v>0</v>
      </c>
      <c r="J9" s="113">
        <f>IF(OR(D9=2,D9=4),1,"")</f>
        <v>1</v>
      </c>
      <c r="K9" s="45">
        <f>IF(OR(J9=1,J9=2),I9*J9,"")</f>
        <v>0</v>
      </c>
      <c r="L9" s="45">
        <f>COUNT(E9:H9)*J9</f>
        <v>0</v>
      </c>
      <c r="M9" s="46">
        <v>373</v>
      </c>
      <c r="N9" s="47">
        <v>3.5</v>
      </c>
      <c r="O9" s="46" t="str">
        <f t="shared" si="0"/>
        <v/>
      </c>
      <c r="P9" s="46" t="str">
        <f t="shared" si="1"/>
        <v/>
      </c>
      <c r="Q9" s="48" t="str">
        <f t="shared" ref="Q9:Q29" si="3">IF(OR(B9=B$36,B9=B$37,B9=B$38),IF(COUNTBLANK(E9:H9)&gt;0,"Alle 4 Noten eintragen!",""),"")</f>
        <v/>
      </c>
      <c r="R9" s="18" t="str">
        <f t="shared" ref="R9:R18" si="4">IF(OR(B9=B$36,B9=B$37,B9=B$38),IF(COUNTIF(E9:H9,0)&gt;0,"0 Punkte  =&gt; nicht best.!",""),"")</f>
        <v/>
      </c>
      <c r="S9" s="49"/>
      <c r="T9" s="24" t="s">
        <v>6</v>
      </c>
      <c r="U9" s="7"/>
      <c r="V9" s="7"/>
      <c r="W9" s="7" t="s">
        <v>31</v>
      </c>
      <c r="X9" s="7"/>
      <c r="Y9" s="7"/>
      <c r="Z9" s="7"/>
      <c r="AA9" s="7"/>
      <c r="AG9" s="7" t="s">
        <v>25</v>
      </c>
    </row>
    <row r="10" spans="1:33" s="23" customFormat="1" ht="15.95" customHeight="1" thickBot="1">
      <c r="A10" s="50" t="s">
        <v>45</v>
      </c>
      <c r="B10" s="146" t="s">
        <v>39</v>
      </c>
      <c r="C10" s="147"/>
      <c r="D10" s="27">
        <v>2</v>
      </c>
      <c r="E10" s="75"/>
      <c r="F10" s="67"/>
      <c r="G10" s="67"/>
      <c r="H10" s="68"/>
      <c r="I10" s="31"/>
      <c r="J10" s="52"/>
      <c r="K10" s="45"/>
      <c r="L10" s="45"/>
      <c r="M10" s="46"/>
      <c r="N10" s="47"/>
      <c r="O10" s="46"/>
      <c r="P10" s="46"/>
      <c r="Q10" s="48"/>
      <c r="R10" s="18"/>
      <c r="S10" s="49"/>
      <c r="T10" s="7" t="s">
        <v>7</v>
      </c>
      <c r="U10" s="7"/>
      <c r="V10" s="7"/>
      <c r="W10" s="7" t="s">
        <v>32</v>
      </c>
      <c r="X10" s="7"/>
      <c r="Y10" s="7"/>
      <c r="Z10" s="7"/>
      <c r="AA10" s="7"/>
      <c r="AG10" s="7" t="s">
        <v>26</v>
      </c>
    </row>
    <row r="11" spans="1:33" s="23" customFormat="1" ht="15.95" customHeight="1" thickBot="1">
      <c r="A11" s="50" t="s">
        <v>12</v>
      </c>
      <c r="B11" s="146" t="s">
        <v>12</v>
      </c>
      <c r="C11" s="147"/>
      <c r="D11" s="27">
        <v>2</v>
      </c>
      <c r="E11" s="75"/>
      <c r="F11" s="67"/>
      <c r="G11" s="67"/>
      <c r="H11" s="68"/>
      <c r="I11" s="31">
        <f>IF(D11="","",SUM(E11:H11))</f>
        <v>0</v>
      </c>
      <c r="J11" s="52">
        <f>IF(D11=2,1,"")</f>
        <v>1</v>
      </c>
      <c r="K11" s="45">
        <f>IF(OR(J11=1,J11=2),I11*J11,"")</f>
        <v>0</v>
      </c>
      <c r="L11" s="45">
        <f>COUNT(E11:H11)*J11</f>
        <v>0</v>
      </c>
      <c r="M11" s="46">
        <v>409</v>
      </c>
      <c r="N11" s="47">
        <v>3.3</v>
      </c>
      <c r="O11" s="46" t="str">
        <f t="shared" si="0"/>
        <v/>
      </c>
      <c r="P11" s="46" t="str">
        <f t="shared" si="1"/>
        <v/>
      </c>
      <c r="Q11" s="48" t="str">
        <f t="shared" si="3"/>
        <v/>
      </c>
      <c r="R11" s="18" t="str">
        <f t="shared" si="4"/>
        <v/>
      </c>
      <c r="S11" s="49"/>
      <c r="T11" s="20" t="s">
        <v>20</v>
      </c>
      <c r="U11" s="7"/>
      <c r="V11" s="7"/>
      <c r="W11" s="7" t="s">
        <v>42</v>
      </c>
      <c r="X11" s="7"/>
      <c r="Y11" s="7"/>
      <c r="Z11" s="7"/>
      <c r="AA11" s="7"/>
      <c r="AG11" s="7" t="s">
        <v>27</v>
      </c>
    </row>
    <row r="12" spans="1:33" s="23" customFormat="1" ht="15.95" customHeight="1" thickBot="1">
      <c r="A12" s="38" t="s">
        <v>13</v>
      </c>
      <c r="B12" s="148"/>
      <c r="C12" s="149"/>
      <c r="D12" s="40"/>
      <c r="E12" s="41"/>
      <c r="F12" s="42"/>
      <c r="G12" s="42"/>
      <c r="H12" s="43"/>
      <c r="I12" s="44"/>
      <c r="J12" s="42"/>
      <c r="K12" s="45"/>
      <c r="L12" s="45"/>
      <c r="M12" s="46">
        <v>427</v>
      </c>
      <c r="N12" s="47">
        <v>3.2</v>
      </c>
      <c r="O12" s="46" t="str">
        <f t="shared" si="0"/>
        <v/>
      </c>
      <c r="P12" s="46" t="str">
        <f t="shared" si="1"/>
        <v/>
      </c>
      <c r="Q12" s="137"/>
      <c r="R12" s="154"/>
      <c r="S12" s="49"/>
      <c r="T12" s="7" t="s">
        <v>21</v>
      </c>
      <c r="U12" s="7"/>
      <c r="V12" s="7"/>
      <c r="W12" s="7"/>
      <c r="X12" s="7"/>
      <c r="Y12" s="7"/>
      <c r="Z12" s="7"/>
      <c r="AA12" s="7"/>
      <c r="AG12" s="21" t="s">
        <v>9</v>
      </c>
    </row>
    <row r="13" spans="1:33" s="60" customFormat="1" ht="15.95" hidden="1" customHeight="1" thickBot="1">
      <c r="A13" s="54"/>
      <c r="B13" s="150"/>
      <c r="C13" s="151"/>
      <c r="D13" s="55"/>
      <c r="E13" s="56"/>
      <c r="F13" s="57"/>
      <c r="G13" s="57"/>
      <c r="H13" s="58"/>
      <c r="I13" s="31"/>
      <c r="J13" s="52"/>
      <c r="K13" s="45"/>
      <c r="L13" s="45"/>
      <c r="M13" s="46"/>
      <c r="N13" s="47"/>
      <c r="O13" s="46"/>
      <c r="P13" s="46"/>
      <c r="Q13" s="48"/>
      <c r="R13" s="18"/>
      <c r="S13" s="59"/>
      <c r="T13" s="24" t="s">
        <v>28</v>
      </c>
      <c r="U13" s="7"/>
      <c r="V13" s="7"/>
      <c r="W13" s="7"/>
      <c r="X13" s="7"/>
      <c r="Y13" s="7"/>
      <c r="Z13" s="7"/>
      <c r="AA13" s="7"/>
      <c r="AG13" s="7" t="s">
        <v>41</v>
      </c>
    </row>
    <row r="14" spans="1:33" s="60" customFormat="1" ht="15.95" hidden="1" customHeight="1" thickBot="1">
      <c r="A14" s="61"/>
      <c r="B14" s="152"/>
      <c r="C14" s="153"/>
      <c r="D14" s="63"/>
      <c r="E14" s="56"/>
      <c r="F14" s="57"/>
      <c r="G14" s="57"/>
      <c r="H14" s="58"/>
      <c r="I14" s="31"/>
      <c r="J14" s="52"/>
      <c r="K14" s="45"/>
      <c r="L14" s="45"/>
      <c r="M14" s="46"/>
      <c r="N14" s="64"/>
      <c r="O14" s="46"/>
      <c r="P14" s="46"/>
      <c r="Q14" s="48"/>
      <c r="R14" s="18"/>
      <c r="S14" s="59"/>
      <c r="T14" s="7" t="s">
        <v>22</v>
      </c>
      <c r="U14" s="7"/>
      <c r="V14" s="7"/>
      <c r="W14" s="7"/>
      <c r="X14" s="7"/>
      <c r="Y14" s="7"/>
      <c r="Z14" s="7"/>
      <c r="AA14" s="7"/>
      <c r="AG14" s="22" t="s">
        <v>11</v>
      </c>
    </row>
    <row r="15" spans="1:33" s="23" customFormat="1" ht="15.95" hidden="1" customHeight="1" thickBot="1">
      <c r="A15" s="50"/>
      <c r="B15" s="141"/>
      <c r="C15" s="142"/>
      <c r="D15" s="27"/>
      <c r="E15" s="75"/>
      <c r="F15" s="67"/>
      <c r="G15" s="67"/>
      <c r="H15" s="68"/>
      <c r="I15" s="31"/>
      <c r="J15" s="67"/>
      <c r="K15" s="45"/>
      <c r="L15" s="45"/>
      <c r="M15" s="46"/>
      <c r="N15" s="47"/>
      <c r="O15" s="46"/>
      <c r="P15" s="46"/>
      <c r="Q15" s="48"/>
      <c r="R15" s="18" t="str">
        <f t="shared" si="4"/>
        <v/>
      </c>
      <c r="S15" s="49"/>
      <c r="U15" s="7"/>
      <c r="V15" s="7"/>
      <c r="W15" s="7"/>
      <c r="X15" s="7"/>
      <c r="Y15" s="7"/>
      <c r="Z15" s="7"/>
      <c r="AA15" s="7"/>
      <c r="AG15" s="7" t="s">
        <v>23</v>
      </c>
    </row>
    <row r="16" spans="1:33" s="23" customFormat="1" ht="15.95" customHeight="1" thickBot="1">
      <c r="A16" s="50" t="s">
        <v>48</v>
      </c>
      <c r="B16" s="141" t="s">
        <v>40</v>
      </c>
      <c r="C16" s="142"/>
      <c r="D16" s="27">
        <v>2</v>
      </c>
      <c r="E16" s="75"/>
      <c r="F16" s="67"/>
      <c r="G16" s="67"/>
      <c r="H16" s="68"/>
      <c r="I16" s="31">
        <f t="shared" ref="I16:I18" si="5">IF(D16="","",SUM(E16:H16))</f>
        <v>0</v>
      </c>
      <c r="J16" s="52">
        <f>IF(D16=2,1,"")</f>
        <v>1</v>
      </c>
      <c r="K16" s="45">
        <f t="shared" ref="K16:K18" si="6">IF(OR(J16=1,J16=2),I16*J16,"")</f>
        <v>0</v>
      </c>
      <c r="L16" s="45" t="str">
        <f t="shared" ref="L16:L18" si="7">IF(COUNT(E16:H16)=0,"",COUNT(E16:H16)*J16)</f>
        <v/>
      </c>
      <c r="M16" s="46">
        <v>499</v>
      </c>
      <c r="N16" s="47">
        <v>2.8</v>
      </c>
      <c r="O16" s="46" t="str">
        <f t="shared" si="0"/>
        <v/>
      </c>
      <c r="P16" s="46" t="str">
        <f t="shared" si="1"/>
        <v/>
      </c>
      <c r="Q16" s="48" t="str">
        <f t="shared" si="3"/>
        <v/>
      </c>
      <c r="R16" s="18" t="str">
        <f t="shared" si="4"/>
        <v/>
      </c>
      <c r="S16" s="49"/>
      <c r="T16" s="7"/>
      <c r="U16" s="7"/>
      <c r="V16" s="7"/>
      <c r="W16" s="7"/>
      <c r="X16" s="7"/>
      <c r="Y16" s="7"/>
      <c r="Z16" s="7"/>
      <c r="AA16" s="7"/>
      <c r="AG16" s="7" t="s">
        <v>24</v>
      </c>
    </row>
    <row r="17" spans="1:33" s="23" customFormat="1" ht="15.95" customHeight="1" thickBot="1">
      <c r="A17" s="50" t="s">
        <v>46</v>
      </c>
      <c r="B17" s="141" t="s">
        <v>40</v>
      </c>
      <c r="C17" s="142"/>
      <c r="D17" s="27">
        <v>2</v>
      </c>
      <c r="E17" s="75"/>
      <c r="F17" s="67"/>
      <c r="G17" s="67"/>
      <c r="H17" s="68"/>
      <c r="I17" s="31">
        <f t="shared" si="5"/>
        <v>0</v>
      </c>
      <c r="J17" s="52">
        <f>IF(D17=2,1,"")</f>
        <v>1</v>
      </c>
      <c r="K17" s="45">
        <f t="shared" si="6"/>
        <v>0</v>
      </c>
      <c r="L17" s="45" t="str">
        <f t="shared" si="7"/>
        <v/>
      </c>
      <c r="M17" s="46">
        <v>517</v>
      </c>
      <c r="N17" s="47">
        <v>2.7</v>
      </c>
      <c r="O17" s="46" t="str">
        <f t="shared" si="0"/>
        <v/>
      </c>
      <c r="P17" s="46" t="str">
        <f t="shared" si="1"/>
        <v/>
      </c>
      <c r="Q17" s="48" t="str">
        <f t="shared" si="3"/>
        <v/>
      </c>
      <c r="R17" s="18" t="str">
        <f t="shared" si="4"/>
        <v/>
      </c>
      <c r="S17" s="49"/>
      <c r="U17" s="7"/>
      <c r="V17" s="7"/>
      <c r="W17" s="7"/>
      <c r="X17" s="7"/>
      <c r="Y17" s="7"/>
      <c r="Z17" s="7"/>
      <c r="AA17" s="7"/>
      <c r="AG17" s="7" t="s">
        <v>33</v>
      </c>
    </row>
    <row r="18" spans="1:33" s="23" customFormat="1" ht="15.95" customHeight="1" thickBot="1">
      <c r="A18" s="50" t="s">
        <v>14</v>
      </c>
      <c r="B18" s="146" t="s">
        <v>14</v>
      </c>
      <c r="C18" s="155"/>
      <c r="D18" s="27">
        <v>2</v>
      </c>
      <c r="E18" s="75"/>
      <c r="F18" s="67"/>
      <c r="G18" s="67"/>
      <c r="H18" s="68"/>
      <c r="I18" s="31">
        <f t="shared" si="5"/>
        <v>0</v>
      </c>
      <c r="J18" s="52">
        <f>IF(D18=2,1,"")</f>
        <v>1</v>
      </c>
      <c r="K18" s="45">
        <f t="shared" si="6"/>
        <v>0</v>
      </c>
      <c r="L18" s="45" t="str">
        <f t="shared" si="7"/>
        <v/>
      </c>
      <c r="M18" s="46">
        <v>535</v>
      </c>
      <c r="N18" s="47">
        <v>2.6</v>
      </c>
      <c r="O18" s="46" t="str">
        <f t="shared" si="0"/>
        <v/>
      </c>
      <c r="P18" s="46" t="str">
        <f t="shared" si="1"/>
        <v/>
      </c>
      <c r="Q18" s="48" t="str">
        <f t="shared" si="3"/>
        <v/>
      </c>
      <c r="R18" s="18" t="str">
        <f t="shared" si="4"/>
        <v/>
      </c>
      <c r="S18" s="49"/>
      <c r="U18" s="7"/>
      <c r="V18" s="7"/>
      <c r="W18" s="7"/>
      <c r="X18" s="7"/>
      <c r="Y18" s="7"/>
      <c r="Z18" s="7"/>
      <c r="AA18" s="7"/>
      <c r="AG18" s="7" t="s">
        <v>49</v>
      </c>
    </row>
    <row r="19" spans="1:33" s="23" customFormat="1" ht="15.95" customHeight="1" thickBot="1">
      <c r="A19" s="38" t="s">
        <v>15</v>
      </c>
      <c r="B19" s="148"/>
      <c r="C19" s="149"/>
      <c r="D19" s="40"/>
      <c r="E19" s="41"/>
      <c r="F19" s="42"/>
      <c r="G19" s="42"/>
      <c r="H19" s="43"/>
      <c r="I19" s="44"/>
      <c r="J19" s="42"/>
      <c r="K19" s="45"/>
      <c r="L19" s="45"/>
      <c r="M19" s="46">
        <v>553</v>
      </c>
      <c r="N19" s="47">
        <v>2.5</v>
      </c>
      <c r="O19" s="46" t="str">
        <f t="shared" si="0"/>
        <v/>
      </c>
      <c r="P19" s="46" t="str">
        <f t="shared" si="1"/>
        <v/>
      </c>
      <c r="Q19" s="48" t="str">
        <f>IF(OR(B13="Auswahlliste!",B14="Auswahlliste!",B15="Auswahlliste!",B16="Auswahlliste!",B17="Auswahlliste!"),"Wahlpfl.fächer wählen!","")</f>
        <v>Wahlpfl.fächer wählen!</v>
      </c>
      <c r="R19" s="18"/>
      <c r="S19" s="49"/>
      <c r="U19" s="7"/>
      <c r="V19" s="7"/>
      <c r="W19" s="7"/>
      <c r="X19" s="7"/>
      <c r="Y19" s="7"/>
      <c r="Z19" s="7"/>
      <c r="AA19" s="7"/>
      <c r="AG19" s="7" t="s">
        <v>34</v>
      </c>
    </row>
    <row r="20" spans="1:33" s="23" customFormat="1" ht="15.95" customHeight="1" thickBot="1">
      <c r="A20" s="50" t="s">
        <v>54</v>
      </c>
      <c r="B20" s="141" t="s">
        <v>42</v>
      </c>
      <c r="C20" s="142"/>
      <c r="D20" s="27" t="str">
        <f>IF(OR(B20=V3,B20=V4,B20=V5),4,"")</f>
        <v/>
      </c>
      <c r="E20" s="75"/>
      <c r="F20" s="67"/>
      <c r="G20" s="67"/>
      <c r="H20" s="68"/>
      <c r="I20" s="31" t="str">
        <f>IF(D20="","",SUM(E20:H20))</f>
        <v/>
      </c>
      <c r="J20" s="136" t="str">
        <f>IF(D20=4,1,"")</f>
        <v/>
      </c>
      <c r="K20" s="45" t="str">
        <f t="shared" ref="K20:K29" si="8">IF(OR(J20=1,J20=2),I20*J20,"")</f>
        <v/>
      </c>
      <c r="L20" s="45" t="str">
        <f t="shared" ref="L20:L29" si="9">IF(COUNT(E20:H20)=0,"",COUNT(E20:H20)*J20)</f>
        <v/>
      </c>
      <c r="M20" s="46">
        <v>571</v>
      </c>
      <c r="N20" s="47">
        <v>2.4</v>
      </c>
      <c r="O20" s="46" t="str">
        <f t="shared" si="0"/>
        <v/>
      </c>
      <c r="P20" s="46" t="str">
        <f t="shared" si="1"/>
        <v/>
      </c>
      <c r="Q20" s="48" t="str">
        <f>IF(OR(B20=B$36,B20=B$37,B20=B$38),IF(COUNTBLANK(E20:H20)&gt;0,"Alle 4 Noten eintragen!",""),"")</f>
        <v/>
      </c>
      <c r="R20" s="18" t="str">
        <f>IF(AND(COUNTBLANK(E20:H20)&lt;4,D20=""),"Fach auswählen!",IF(OR(B20=B$36,B20=B$37,B20=B$38),IF(COUNTIF(E20:H20,0)&gt;0,"0 Punkte  =&gt; nicht best.!",""),""))</f>
        <v/>
      </c>
      <c r="S20" s="49"/>
      <c r="U20" s="7"/>
      <c r="V20" s="7"/>
      <c r="W20" s="7"/>
      <c r="X20" s="7"/>
      <c r="Y20" s="7"/>
      <c r="Z20" s="7"/>
      <c r="AA20" s="7"/>
      <c r="AG20" s="21" t="s">
        <v>39</v>
      </c>
    </row>
    <row r="21" spans="1:33" s="23" customFormat="1" ht="15.95" customHeight="1" thickBot="1">
      <c r="A21" s="65" t="s">
        <v>55</v>
      </c>
      <c r="B21" s="160" t="s">
        <v>42</v>
      </c>
      <c r="C21" s="161"/>
      <c r="D21" s="66" t="str">
        <f>IF(OR(B21=W3,B21=W4,B21=W5,B21=W6),4,"")</f>
        <v/>
      </c>
      <c r="E21" s="166"/>
      <c r="F21" s="169"/>
      <c r="G21" s="169"/>
      <c r="H21" s="170"/>
      <c r="I21" s="69" t="str">
        <f>IF(D21="","",SUM(E21:H21))</f>
        <v/>
      </c>
      <c r="J21" s="70" t="str">
        <f>IF(D21=4,1,"")</f>
        <v/>
      </c>
      <c r="K21" s="45" t="str">
        <f t="shared" si="8"/>
        <v/>
      </c>
      <c r="L21" s="45" t="str">
        <f t="shared" si="9"/>
        <v/>
      </c>
      <c r="M21" s="46">
        <v>589</v>
      </c>
      <c r="N21" s="47">
        <v>2.2999999999999998</v>
      </c>
      <c r="O21" s="46" t="str">
        <f t="shared" si="0"/>
        <v/>
      </c>
      <c r="P21" s="46" t="str">
        <f t="shared" si="1"/>
        <v/>
      </c>
      <c r="Q21" s="48" t="str">
        <f t="shared" si="3"/>
        <v/>
      </c>
      <c r="R21" s="18" t="str">
        <f>IF(AND(COUNTBLANK(E21:H21)&lt;4,D21=""),"Fach auswählen!",IF(OR(B21=B$36,B21=B$37,B21=B$38),IF(COUNTIF(E21:H21,0)&gt;0,"0 Punkte  =&gt; nicht best.!",""),""))</f>
        <v/>
      </c>
      <c r="S21" s="49"/>
      <c r="U21" s="7"/>
      <c r="V21" s="7"/>
      <c r="W21" s="7"/>
      <c r="X21" s="7"/>
      <c r="Y21" s="7"/>
      <c r="Z21" s="7"/>
      <c r="AA21" s="7"/>
      <c r="AG21" s="7" t="s">
        <v>14</v>
      </c>
    </row>
    <row r="22" spans="1:33" s="23" customFormat="1" ht="15.95" customHeight="1" thickBot="1">
      <c r="A22" s="65" t="s">
        <v>16</v>
      </c>
      <c r="B22" s="162"/>
      <c r="C22" s="163"/>
      <c r="D22" s="71" t="str">
        <f>IF(B21=W7,2,"")</f>
        <v/>
      </c>
      <c r="E22" s="167"/>
      <c r="F22" s="169"/>
      <c r="G22" s="169"/>
      <c r="H22" s="170"/>
      <c r="I22" s="72" t="str">
        <f>IF(D22="","",SUM(E22:H22))</f>
        <v/>
      </c>
      <c r="J22" s="73" t="str">
        <f t="shared" ref="J22:J29" si="10">IF(D22=2,1,"")</f>
        <v/>
      </c>
      <c r="K22" s="45" t="str">
        <f t="shared" si="8"/>
        <v/>
      </c>
      <c r="L22" s="45" t="str">
        <f t="shared" si="9"/>
        <v/>
      </c>
      <c r="M22" s="46">
        <v>607</v>
      </c>
      <c r="N22" s="47">
        <v>2.2000000000000002</v>
      </c>
      <c r="O22" s="46" t="str">
        <f t="shared" si="0"/>
        <v/>
      </c>
      <c r="P22" s="46" t="str">
        <f t="shared" si="1"/>
        <v/>
      </c>
      <c r="Q22" s="48" t="str">
        <f>IF(OR(B21=B$36,B21=B$37,B21=B$38),IF(COUNTBLANK(E21:H21)&gt;0,"Alle 4 Noten eintragen!",""),"")</f>
        <v/>
      </c>
      <c r="R22" s="18" t="str">
        <f>IF(AND(COUNTBLANK(E21:H21)&lt;4,D22=""),"Fach auswählen!",IF(OR(B22=B$36,B22=B$37,B22=B$38),IF(COUNTIF(E22:H22,0)&gt;0,"0 Punkte  =&gt; nicht best.!",""),""))</f>
        <v/>
      </c>
      <c r="S22" s="49"/>
      <c r="U22" s="7"/>
      <c r="V22" s="7"/>
      <c r="W22" s="7"/>
      <c r="X22" s="7"/>
      <c r="Y22" s="7"/>
      <c r="Z22" s="7"/>
      <c r="AA22" s="7"/>
      <c r="AG22" s="7"/>
    </row>
    <row r="23" spans="1:33" s="23" customFormat="1" ht="15.95" customHeight="1" thickBot="1">
      <c r="A23" s="50" t="s">
        <v>43</v>
      </c>
      <c r="B23" s="164"/>
      <c r="C23" s="165"/>
      <c r="D23" s="74" t="str">
        <f>IF(OR(B21=W8,B21=W9,B21=W10),2,"")</f>
        <v/>
      </c>
      <c r="E23" s="168"/>
      <c r="F23" s="169"/>
      <c r="G23" s="169"/>
      <c r="H23" s="170"/>
      <c r="I23" s="76" t="str">
        <f>IF(D23="","",SUM(E23:H23))</f>
        <v/>
      </c>
      <c r="J23" s="77" t="str">
        <f t="shared" si="10"/>
        <v/>
      </c>
      <c r="K23" s="45" t="str">
        <f t="shared" si="8"/>
        <v/>
      </c>
      <c r="L23" s="45" t="str">
        <f t="shared" si="9"/>
        <v/>
      </c>
      <c r="M23" s="46">
        <v>625</v>
      </c>
      <c r="N23" s="47">
        <v>2.1</v>
      </c>
      <c r="O23" s="46" t="str">
        <f t="shared" si="0"/>
        <v/>
      </c>
      <c r="P23" s="46" t="str">
        <f t="shared" si="1"/>
        <v/>
      </c>
      <c r="Q23" s="48" t="str">
        <f>IF(OR(B21=B$36,B21=B$37,B21=B$38),IF(COUNTBLANK(E21:H21)&gt;0,"Alle 4 Noten eintragen!",""),"")</f>
        <v/>
      </c>
      <c r="R23" s="18" t="str">
        <f>IF(AND(COUNTBLANK(E21:H21)&lt;4,D23=""),"Fach auswählen!",IF(OR(B23=B$36,B23=B$37,B23=B$38),IF(COUNTIF(E23:H23,0)&gt;0,"0 Punkte  =&gt; nicht best.!",""),""))</f>
        <v/>
      </c>
      <c r="S23" s="49"/>
      <c r="T23" s="7"/>
      <c r="U23" s="7"/>
      <c r="V23" s="7"/>
      <c r="W23" s="7"/>
      <c r="X23" s="7"/>
      <c r="Y23" s="7"/>
      <c r="Z23" s="7"/>
      <c r="AA23" s="7"/>
      <c r="AG23" s="7"/>
    </row>
    <row r="24" spans="1:33" s="23" customFormat="1" ht="15.95" customHeight="1" thickBot="1">
      <c r="A24" s="50" t="s">
        <v>46</v>
      </c>
      <c r="B24" s="141" t="s">
        <v>42</v>
      </c>
      <c r="C24" s="142"/>
      <c r="D24" s="27" t="str">
        <f>IF(OR(B24=Y3,B24=Y4,B24=Y5),2,"")</f>
        <v/>
      </c>
      <c r="E24" s="75"/>
      <c r="F24" s="67"/>
      <c r="G24" s="67"/>
      <c r="H24" s="68"/>
      <c r="I24" s="31" t="str">
        <f>IF(D24="","",SUM(E24:H24))</f>
        <v/>
      </c>
      <c r="J24" s="78" t="str">
        <f t="shared" si="10"/>
        <v/>
      </c>
      <c r="K24" s="45" t="str">
        <f t="shared" si="8"/>
        <v/>
      </c>
      <c r="L24" s="45" t="str">
        <f t="shared" si="9"/>
        <v/>
      </c>
      <c r="M24" s="46">
        <v>643</v>
      </c>
      <c r="N24" s="64">
        <v>2</v>
      </c>
      <c r="O24" s="46" t="str">
        <f t="shared" si="0"/>
        <v/>
      </c>
      <c r="P24" s="46" t="str">
        <f t="shared" si="1"/>
        <v/>
      </c>
      <c r="Q24" s="48" t="str">
        <f t="shared" si="3"/>
        <v/>
      </c>
      <c r="R24" s="18" t="str">
        <f t="shared" ref="R24:R27" si="11">IF(AND(COUNTBLANK(E24:H24)&lt;4,D24=""),"Fach auswählen!",IF(OR(B24=B$36,B24=B$37,B24=B$38),IF(COUNTIF(E24:H24,0)&gt;0,"0 Punkte  =&gt; nicht best.!",""),""))</f>
        <v/>
      </c>
      <c r="S24" s="49"/>
      <c r="U24" s="7"/>
      <c r="V24" s="7"/>
      <c r="W24" s="7"/>
      <c r="X24" s="7"/>
      <c r="Y24" s="7"/>
      <c r="Z24" s="7"/>
      <c r="AA24" s="7"/>
    </row>
    <row r="25" spans="1:33" s="23" customFormat="1" ht="15.95" customHeight="1" thickBot="1">
      <c r="A25" s="50" t="s">
        <v>51</v>
      </c>
      <c r="B25" s="141" t="s">
        <v>42</v>
      </c>
      <c r="C25" s="142"/>
      <c r="D25" s="27" t="str">
        <f>IF(OR(B25=Z3,B25=Z4,B25=Z5),2,"")</f>
        <v/>
      </c>
      <c r="E25" s="75"/>
      <c r="F25" s="67"/>
      <c r="G25" s="67"/>
      <c r="H25" s="68"/>
      <c r="I25" s="31" t="str">
        <f t="shared" ref="I25:I29" si="12">IF(D25="","",SUM(E25:H25))</f>
        <v/>
      </c>
      <c r="J25" s="78" t="str">
        <f t="shared" si="10"/>
        <v/>
      </c>
      <c r="K25" s="45" t="str">
        <f t="shared" si="8"/>
        <v/>
      </c>
      <c r="L25" s="45" t="str">
        <f t="shared" si="9"/>
        <v/>
      </c>
      <c r="M25" s="46">
        <v>661</v>
      </c>
      <c r="N25" s="47">
        <v>1.9</v>
      </c>
      <c r="O25" s="46" t="str">
        <f t="shared" si="0"/>
        <v/>
      </c>
      <c r="P25" s="46" t="str">
        <f t="shared" si="1"/>
        <v/>
      </c>
      <c r="Q25" s="48" t="str">
        <f>IF(COUNTBLANK(E25:H25)=0,"Nur 3 Kurse einzubringen!","")</f>
        <v/>
      </c>
      <c r="R25" s="18" t="str">
        <f t="shared" si="11"/>
        <v/>
      </c>
      <c r="S25" s="49"/>
      <c r="U25" s="7"/>
      <c r="V25" s="7"/>
      <c r="W25" s="7"/>
      <c r="X25" s="7"/>
      <c r="Y25" s="7"/>
      <c r="Z25" s="7"/>
      <c r="AA25" s="7"/>
    </row>
    <row r="26" spans="1:33" s="23" customFormat="1" ht="15.95" hidden="1" customHeight="1" thickBot="1">
      <c r="A26" s="50"/>
      <c r="B26" s="141" t="s">
        <v>42</v>
      </c>
      <c r="C26" s="142"/>
      <c r="D26" s="27" t="str">
        <f>IF(B26=AB4,2,"")</f>
        <v/>
      </c>
      <c r="E26" s="75"/>
      <c r="F26" s="67"/>
      <c r="G26" s="67"/>
      <c r="H26" s="68"/>
      <c r="I26" s="31"/>
      <c r="J26" s="78" t="str">
        <f t="shared" si="10"/>
        <v/>
      </c>
      <c r="K26" s="45"/>
      <c r="L26" s="45"/>
      <c r="M26" s="46"/>
      <c r="N26" s="47"/>
      <c r="O26" s="46"/>
      <c r="P26" s="46"/>
      <c r="Q26" s="48"/>
      <c r="R26" s="18"/>
      <c r="S26" s="49"/>
      <c r="U26" s="7"/>
      <c r="V26" s="7"/>
      <c r="W26" s="7"/>
      <c r="X26" s="7"/>
      <c r="Y26" s="7"/>
      <c r="Z26" s="7"/>
      <c r="AA26" s="7"/>
      <c r="AG26" s="7"/>
    </row>
    <row r="27" spans="1:33" s="23" customFormat="1" ht="15.95" customHeight="1" thickBot="1">
      <c r="A27" s="50" t="s">
        <v>57</v>
      </c>
      <c r="B27" s="141" t="s">
        <v>42</v>
      </c>
      <c r="C27" s="142"/>
      <c r="D27" s="27" t="str">
        <f>IF(OR(B27=AA3,B27=AA4),2,"")</f>
        <v/>
      </c>
      <c r="E27" s="75"/>
      <c r="F27" s="67"/>
      <c r="G27" s="67"/>
      <c r="H27" s="68"/>
      <c r="I27" s="31" t="str">
        <f t="shared" si="12"/>
        <v/>
      </c>
      <c r="J27" s="78" t="str">
        <f t="shared" si="10"/>
        <v/>
      </c>
      <c r="K27" s="45" t="str">
        <f t="shared" si="8"/>
        <v/>
      </c>
      <c r="L27" s="45" t="str">
        <f t="shared" si="9"/>
        <v/>
      </c>
      <c r="M27" s="46">
        <v>697</v>
      </c>
      <c r="N27" s="47">
        <v>1.7</v>
      </c>
      <c r="O27" s="46" t="str">
        <f t="shared" si="0"/>
        <v/>
      </c>
      <c r="P27" s="46" t="str">
        <f t="shared" si="1"/>
        <v/>
      </c>
      <c r="Q27" s="48" t="str">
        <f t="shared" si="3"/>
        <v/>
      </c>
      <c r="R27" s="18" t="str">
        <f t="shared" si="11"/>
        <v/>
      </c>
      <c r="S27" s="49"/>
      <c r="T27" s="7"/>
      <c r="U27" s="7"/>
      <c r="V27" s="7"/>
      <c r="W27" s="7"/>
      <c r="X27" s="7"/>
      <c r="Y27" s="7"/>
      <c r="Z27" s="7"/>
      <c r="AA27" s="7"/>
      <c r="AG27" s="7"/>
    </row>
    <row r="28" spans="1:33" s="23" customFormat="1" ht="15.95" hidden="1" customHeight="1" thickBot="1">
      <c r="A28" s="50"/>
      <c r="B28" s="141" t="s">
        <v>42</v>
      </c>
      <c r="C28" s="142"/>
      <c r="D28" s="27" t="str">
        <f>IF(OR(B28=AC3),2,"")</f>
        <v/>
      </c>
      <c r="E28" s="75"/>
      <c r="F28" s="67"/>
      <c r="G28" s="67"/>
      <c r="H28" s="68"/>
      <c r="I28" s="31"/>
      <c r="J28" s="78" t="str">
        <f t="shared" si="10"/>
        <v/>
      </c>
      <c r="K28" s="45"/>
      <c r="L28" s="45"/>
      <c r="M28" s="46"/>
      <c r="N28" s="47"/>
      <c r="O28" s="46"/>
      <c r="P28" s="46"/>
      <c r="Q28" s="48"/>
      <c r="R28" s="18"/>
      <c r="S28" s="49"/>
      <c r="U28" s="7"/>
      <c r="V28" s="7"/>
      <c r="W28" s="7"/>
      <c r="X28" s="7"/>
      <c r="Y28" s="7"/>
      <c r="Z28" s="7"/>
      <c r="AA28" s="7"/>
      <c r="AG28" s="7"/>
    </row>
    <row r="29" spans="1:33" s="23" customFormat="1" ht="15.95" customHeight="1" thickBot="1">
      <c r="A29" s="79" t="s">
        <v>52</v>
      </c>
      <c r="B29" s="171" t="s">
        <v>42</v>
      </c>
      <c r="C29" s="172"/>
      <c r="D29" s="27" t="str">
        <f>IF(B29=AD3,2,"")</f>
        <v/>
      </c>
      <c r="E29" s="75"/>
      <c r="F29" s="67"/>
      <c r="G29" s="67"/>
      <c r="H29" s="68"/>
      <c r="I29" s="31" t="str">
        <f t="shared" si="12"/>
        <v/>
      </c>
      <c r="J29" s="78" t="str">
        <f t="shared" si="10"/>
        <v/>
      </c>
      <c r="K29" s="45" t="str">
        <f t="shared" si="8"/>
        <v/>
      </c>
      <c r="L29" s="45" t="str">
        <f t="shared" si="9"/>
        <v/>
      </c>
      <c r="M29" s="46">
        <v>733</v>
      </c>
      <c r="N29" s="47">
        <v>1.5</v>
      </c>
      <c r="O29" s="46" t="str">
        <f t="shared" si="0"/>
        <v/>
      </c>
      <c r="P29" s="46" t="str">
        <f t="shared" si="1"/>
        <v/>
      </c>
      <c r="Q29" s="48" t="str">
        <f t="shared" si="3"/>
        <v/>
      </c>
      <c r="R29" s="18" t="str">
        <f>IF(AND(COUNTBLANK(E29:H29)&lt;4,D29=""),"Fach auswählen!",IF(OR(B29=B$36,B29=B$37,B29=B$38),IF(COUNTIF(E29:H29,0)&gt;0,"0 Punkte  =&gt; nicht best.!",""),""))</f>
        <v/>
      </c>
      <c r="S29" s="49"/>
      <c r="U29" s="7"/>
      <c r="V29" s="7"/>
      <c r="W29" s="7"/>
      <c r="X29" s="7"/>
      <c r="Y29" s="7"/>
      <c r="Z29" s="7"/>
      <c r="AA29" s="7"/>
      <c r="AG29" s="80"/>
    </row>
    <row r="30" spans="1:33" s="23" customFormat="1" ht="15.95" customHeight="1" thickBot="1">
      <c r="A30" s="173" t="s">
        <v>19</v>
      </c>
      <c r="B30" s="174"/>
      <c r="C30" s="175"/>
      <c r="D30" s="81">
        <f>SUM(D4:D29)</f>
        <v>30</v>
      </c>
      <c r="E30" s="183" t="s">
        <v>63</v>
      </c>
      <c r="F30" s="184"/>
      <c r="G30" s="184"/>
      <c r="H30" s="82">
        <f>COUNT(E4:H29)-COUNTIF(E4:H29,0)</f>
        <v>0</v>
      </c>
      <c r="I30" s="176" t="str">
        <f>IF(COUNTIF(J4:J29,2)&lt;3,"Faktor 3x auf 2 setzen!",IF(COUNTIF(J4:J29,2)&gt;3,"Faktor nur 3x auf 2 setzen!",""))</f>
        <v>Faktor 3x auf 2 setzen!</v>
      </c>
      <c r="J30" s="177"/>
      <c r="K30" s="177"/>
      <c r="L30" s="83"/>
      <c r="M30" s="46">
        <v>751</v>
      </c>
      <c r="N30" s="47">
        <v>1.4</v>
      </c>
      <c r="O30" s="46" t="str">
        <f t="shared" si="0"/>
        <v/>
      </c>
      <c r="P30" s="46" t="str">
        <f t="shared" si="1"/>
        <v/>
      </c>
      <c r="Q30" s="84"/>
      <c r="R30" s="85"/>
      <c r="S30" s="86"/>
      <c r="U30" s="7"/>
      <c r="V30" s="7"/>
      <c r="W30" s="7"/>
      <c r="X30" s="7"/>
      <c r="Y30" s="7"/>
      <c r="Z30" s="7"/>
      <c r="AA30" s="7"/>
    </row>
    <row r="31" spans="1:33" ht="15.95" customHeight="1">
      <c r="A31" s="87"/>
      <c r="B31" s="48" t="str">
        <f>IF(OR(B20=B15,B21=B5,B24=B17,B26=B13,B26=B14,B29=B13,B29=B14),"Doppelbelegung!","")</f>
        <v/>
      </c>
      <c r="C31" s="137" t="str">
        <f>IF(D30&lt;34,"zu wenig Stunden/Semester","")</f>
        <v>zu wenig Stunden/Semester</v>
      </c>
      <c r="D31" s="137"/>
      <c r="E31" s="137"/>
      <c r="F31" s="103"/>
      <c r="G31" s="179" t="str">
        <f>IF(H30&lt;32,"zu wenig Kurse!","")</f>
        <v>zu wenig Kurse!</v>
      </c>
      <c r="H31" s="179"/>
      <c r="I31" s="178"/>
      <c r="J31" s="178"/>
      <c r="K31" s="178"/>
      <c r="L31" s="89"/>
      <c r="M31" s="33">
        <v>769</v>
      </c>
      <c r="N31" s="37">
        <v>1.3</v>
      </c>
      <c r="O31" s="33" t="str">
        <f t="shared" si="0"/>
        <v/>
      </c>
      <c r="P31" s="33" t="str">
        <f t="shared" si="1"/>
        <v/>
      </c>
      <c r="Q31" s="82"/>
      <c r="R31" s="18" t="str">
        <f>IF(AND(COUNTBLANK(E17:H17)&gt;0,COUNTBLANK(E24:H24)&gt;0),"4 N. in künstl. Fach eintr.!",IF(OR(COUNTIF(E17:H17,0)&gt;0,COUNTIF(E24:H24,0)&gt;0),"0 Punkte  =&gt; nicht best.!",""))</f>
        <v>4 N. in künstl. Fach eintr.!</v>
      </c>
    </row>
    <row r="32" spans="1:33" ht="15.95" customHeight="1" thickBot="1">
      <c r="A32" s="87"/>
      <c r="B32" s="103"/>
      <c r="C32" s="48"/>
      <c r="D32" s="48"/>
      <c r="E32" s="48"/>
      <c r="F32" s="179" t="str">
        <f>IF(COUNTIF(E4:H29,"&gt;15")&gt;0,"Notenwert(e) zu hoch!",IF(COUNTIF(E4:H29,"&lt;5")&gt;(H30/5),"zu viele Unterkurse!",""))</f>
        <v/>
      </c>
      <c r="G32" s="180"/>
      <c r="H32" s="180"/>
      <c r="I32" s="91"/>
      <c r="J32" s="91"/>
      <c r="K32" s="91"/>
      <c r="L32" s="89"/>
      <c r="M32" s="33">
        <v>787</v>
      </c>
      <c r="N32" s="37">
        <v>1.2</v>
      </c>
      <c r="O32" s="33" t="str">
        <f t="shared" si="0"/>
        <v/>
      </c>
      <c r="P32" s="33" t="str">
        <f t="shared" si="1"/>
        <v/>
      </c>
      <c r="Q32" s="137" t="str">
        <f>IF(AND(COUNTBLANK(E9:H9)&gt;0,COUNTBLANK(E14:H14)&gt;0,COUNTBLANK(E26:H26)&gt;0,COUNTBLANK(E29:H29)&gt;0),"4 Noten in PGW, Geschichte oder Geo eintragen!",IF(OR(COUNTIF(E9:H9,0)&gt;0,COUNTIF(E14:H14,0)&gt;0,COUNTIF(E26:H26,0)&gt;0,COUNTIF(E29:H29,0)&gt;0),"0 Punkte  =&gt; nicht best.!",""))</f>
        <v>4 Noten in PGW, Geschichte oder Geo eintragen!</v>
      </c>
      <c r="R32" s="138"/>
    </row>
    <row r="33" spans="1:18" ht="15.95" customHeight="1" thickBot="1">
      <c r="A33" s="1" t="s">
        <v>67</v>
      </c>
      <c r="B33" s="92"/>
      <c r="C33" s="92"/>
      <c r="D33" s="92"/>
      <c r="E33" s="103"/>
      <c r="F33" s="103"/>
      <c r="G33" s="103"/>
      <c r="H33" s="103"/>
      <c r="I33" s="89"/>
      <c r="J33" s="89"/>
      <c r="K33" s="89"/>
      <c r="L33" s="89"/>
      <c r="M33" s="33">
        <v>805</v>
      </c>
      <c r="N33" s="37">
        <v>1.1000000000000001</v>
      </c>
      <c r="O33" s="33" t="str">
        <f>IF(P34&lt;&gt;"","",IF($F$38&gt;=M33,N33,""))</f>
        <v/>
      </c>
      <c r="P33" s="33" t="str">
        <f>O33&amp;""&amp;P34</f>
        <v/>
      </c>
      <c r="Q33" s="82"/>
      <c r="R33" s="90"/>
    </row>
    <row r="34" spans="1:18" ht="15.95" customHeight="1" thickBot="1">
      <c r="A34" s="93"/>
      <c r="B34" s="92"/>
      <c r="C34" s="94" t="s">
        <v>4</v>
      </c>
      <c r="D34" s="94" t="s">
        <v>73</v>
      </c>
      <c r="E34" s="103"/>
      <c r="F34" s="181" t="s">
        <v>74</v>
      </c>
      <c r="G34" s="182"/>
      <c r="H34" s="103"/>
      <c r="I34" s="181" t="s">
        <v>76</v>
      </c>
      <c r="J34" s="182"/>
      <c r="K34" s="89"/>
      <c r="L34" s="89"/>
      <c r="M34" s="33">
        <v>823</v>
      </c>
      <c r="N34" s="34">
        <v>1</v>
      </c>
      <c r="O34" s="33" t="str">
        <f>IF($F$38&gt;=M34,N34,"")</f>
        <v/>
      </c>
      <c r="P34" s="33" t="str">
        <f>O34</f>
        <v/>
      </c>
      <c r="Q34" s="82"/>
      <c r="R34" s="90"/>
    </row>
    <row r="35" spans="1:18" ht="15.95" customHeight="1" thickBot="1">
      <c r="A35" s="93" t="s">
        <v>68</v>
      </c>
      <c r="B35" s="95" t="s">
        <v>72</v>
      </c>
      <c r="C35" s="96" t="s">
        <v>64</v>
      </c>
      <c r="D35" s="97"/>
      <c r="E35" s="103"/>
      <c r="F35" s="185">
        <f>5*SUM(D35:D38)</f>
        <v>0</v>
      </c>
      <c r="G35" s="186"/>
      <c r="H35" s="103"/>
      <c r="I35" s="185" t="str">
        <f>IF(SUM(K4:K29)=0,"0",ROUND(SUM(K4:K29)/SUM(L4:L29)*40,0))</f>
        <v>0</v>
      </c>
      <c r="J35" s="186"/>
      <c r="K35" s="89"/>
      <c r="L35" s="89"/>
      <c r="M35" s="33"/>
      <c r="N35" s="98"/>
      <c r="O35" s="33"/>
      <c r="P35" s="33" t="str">
        <f>P34&amp;""&amp;O35</f>
        <v/>
      </c>
      <c r="Q35" s="82"/>
      <c r="R35" s="18"/>
    </row>
    <row r="36" spans="1:18" ht="15.95" customHeight="1" thickBot="1">
      <c r="A36" s="93" t="s">
        <v>69</v>
      </c>
      <c r="B36" s="99"/>
      <c r="C36" s="96" t="s">
        <v>64</v>
      </c>
      <c r="D36" s="97"/>
      <c r="E36" s="103"/>
      <c r="F36" s="191" t="str">
        <f>IF(F35&lt;100,"nicht best. (&lt;100P.)","")</f>
        <v>nicht best. (&lt;100P.)</v>
      </c>
      <c r="G36" s="191"/>
      <c r="H36" s="103"/>
      <c r="I36" s="191" t="str">
        <f>IF(I35&lt;200,"nicht best. (&lt;200P.)","")</f>
        <v/>
      </c>
      <c r="J36" s="191"/>
      <c r="K36" s="89"/>
      <c r="L36" s="89"/>
      <c r="M36" s="33"/>
      <c r="N36" s="98"/>
      <c r="O36" s="33"/>
      <c r="P36" s="33"/>
      <c r="Q36" s="82"/>
      <c r="R36" s="18"/>
    </row>
    <row r="37" spans="1:18" ht="15.95" customHeight="1" thickBot="1">
      <c r="A37" s="93" t="s">
        <v>70</v>
      </c>
      <c r="B37" s="99"/>
      <c r="C37" s="100" t="s">
        <v>66</v>
      </c>
      <c r="D37" s="97"/>
      <c r="E37" s="103"/>
      <c r="F37" s="181" t="s">
        <v>78</v>
      </c>
      <c r="G37" s="182"/>
      <c r="H37" s="103"/>
      <c r="I37" s="192" t="s">
        <v>79</v>
      </c>
      <c r="J37" s="193"/>
      <c r="K37" s="89"/>
      <c r="L37" s="89"/>
      <c r="M37" s="89"/>
      <c r="N37" s="89"/>
      <c r="O37" s="89"/>
      <c r="P37" s="89"/>
      <c r="Q37" s="82"/>
      <c r="R37" s="18"/>
    </row>
    <row r="38" spans="1:18" ht="15.95" customHeight="1" thickBot="1">
      <c r="A38" s="93" t="s">
        <v>71</v>
      </c>
      <c r="B38" s="99"/>
      <c r="C38" s="100" t="s">
        <v>66</v>
      </c>
      <c r="D38" s="97"/>
      <c r="E38" s="103"/>
      <c r="F38" s="185">
        <f>F35+I35</f>
        <v>0</v>
      </c>
      <c r="G38" s="186"/>
      <c r="H38" s="103"/>
      <c r="I38" s="194" t="str">
        <f>IF(AND(A39="",A40="",A41="",A42="",A43="",B39="",B40="",B41="",B42="",B43="",C39="",C40="",F36="",I36="",G31="",I30="",Q3="",Q4="",Q5="",Q6="",Q7="",Q8="",Q9="",Q10="",Q11="",Q12="",Q13="",Q14="",Q15="",Q16="",Q17="",Q18="",Q19="",Q20="",Q21="",Q22="",Q23="",Q24="",Q25="",Q26="",Q27="",Q28="",Q30="",Q32="",R3="",R4="",R5="",R8="",R9="",R10="",R11="",R12="",R13="",R14="",R15="",R16="",R17="",R18="",R19="",R20="",R21="",R22="",R23="",R24="",R25="",R26="",R27="",R28="",R30="",R31=""),P4,"Fehler vorhanden")</f>
        <v>Fehler vorhanden</v>
      </c>
      <c r="J38" s="195"/>
      <c r="K38" s="89"/>
      <c r="L38" s="89"/>
      <c r="M38" s="89"/>
      <c r="N38" s="89"/>
      <c r="O38" s="89"/>
      <c r="P38" s="89"/>
      <c r="Q38" s="82"/>
      <c r="R38" s="18" t="str">
        <f>IF(COUNTIF(C35:C37,"EN")&lt;2,"mind. 2x EN wählen!","")</f>
        <v/>
      </c>
    </row>
    <row r="39" spans="1:18" ht="15.95" customHeight="1">
      <c r="A39" s="93"/>
      <c r="B39" s="102" t="str">
        <f>IF(COUNTIF(B35:B38,"Deutsch")+COUNTIF(B35:B38,"Mathematik")+COUNTIF(B35:B38,"Englisch")+COUNTIF(B35:B38,"Spanisch")+COUNTIF(B35:B38,"Französisch")+COUNTIF(B35:B38,"Latein")&lt;2,"2 Kernfächer wählen!",IF(OR(B35=B36,B35=B37,B35=B38,B36=B37,B36=B38,B37=B38),"versch. Fächer wählen!",""))</f>
        <v>2 Kernfächer wählen!</v>
      </c>
      <c r="C39" s="187" t="str">
        <f>IF(COUNTIF(D35:D38,"&lt;5")&gt;2,"nicht best. (3-4mal &lt; 5 P.)","")</f>
        <v/>
      </c>
      <c r="D39" s="188"/>
      <c r="E39" s="188"/>
      <c r="F39" s="189"/>
      <c r="G39" s="189"/>
      <c r="H39" s="103"/>
      <c r="I39" s="89"/>
      <c r="J39" s="89"/>
      <c r="K39" s="89"/>
      <c r="L39" s="89"/>
      <c r="M39" s="89"/>
      <c r="N39" s="89"/>
      <c r="O39" s="89"/>
      <c r="P39" s="89"/>
      <c r="Q39" s="82"/>
      <c r="R39" s="90"/>
    </row>
    <row r="40" spans="1:18" ht="15.95" customHeight="1">
      <c r="A40" s="104" t="str">
        <f>IF(COUNTIF(B$4:B$29,B35)=1,"","1. Prüfungsfach in Block 1 nicht belegt!")</f>
        <v>1. Prüfungsfach in Block 1 nicht belegt!</v>
      </c>
      <c r="B40" s="105" t="str">
        <f>IF(COUNTIF(B35:B38,"Deutsch")+COUNTIF(B35:B38,"Englisch")+COUNTIF(B35:B38,"Spanisch")+COUNTIF(B35:B38,"Französisch")+COUNTIF(B35:B38,"Latein")+COUNTIF(B35:B38,"Kunst")+COUNTIF(B35:B38,"Musik")+COUNTIF(B35:B38,DSP)=0,"1. Aufgabenfeld fehlt!","")</f>
        <v>1. Aufgabenfeld fehlt!</v>
      </c>
      <c r="C40" s="187" t="str">
        <f>IF(OR(D35&gt;45,D36&gt;4),"",IF(AND(C37="EN",D37&gt;4),"",IF(AND(C38="EN",D38&gt;4),"","nicht bestanden (EN &lt; 5 P.)")))</f>
        <v>nicht bestanden (EN &lt; 5 P.)</v>
      </c>
      <c r="D40" s="190"/>
      <c r="E40" s="190"/>
      <c r="F40" s="103"/>
      <c r="G40" s="103"/>
      <c r="H40" s="103"/>
      <c r="I40" s="89"/>
      <c r="J40" s="89"/>
      <c r="K40" s="89"/>
      <c r="L40" s="89"/>
      <c r="M40" s="89"/>
      <c r="N40" s="89"/>
      <c r="O40" s="89"/>
      <c r="P40" s="89"/>
      <c r="Q40" s="82"/>
      <c r="R40" s="90"/>
    </row>
    <row r="41" spans="1:18" ht="15.95" customHeight="1">
      <c r="A41" s="104" t="str">
        <f>IF(COUNTIF(B$4:B$29,B36)=1,"","2. Prüfungsfach in Block 1 nicht belegt!")</f>
        <v>2. Prüfungsfach in Block 1 nicht belegt!</v>
      </c>
      <c r="B41" s="105" t="str">
        <f>IF(COUNTIF(B35:B38,"PGW")+COUNTIF(B35:B38,"Geschichte")+COUNTIF(B35:B38,"Geographie")+COUNTIF(B35:B38,"Religion")+COUNTIF(B35:B38,"Philosophie")+COUNTIF(B35:B38,"Pädagogik")+COUNTIF(B35:B38,"Psychologie")=0,"2. Aufgabenfeld fehlt!","")</f>
        <v>2. Aufgabenfeld fehlt!</v>
      </c>
      <c r="C41" s="106"/>
      <c r="D41" s="106"/>
      <c r="E41" s="106"/>
      <c r="F41" s="103"/>
      <c r="G41" s="103"/>
      <c r="H41" s="103"/>
      <c r="I41" s="89"/>
      <c r="J41" s="89"/>
      <c r="K41" s="89"/>
      <c r="L41" s="89"/>
      <c r="M41" s="89"/>
      <c r="N41" s="89"/>
      <c r="O41" s="89"/>
      <c r="P41" s="89"/>
      <c r="Q41" s="82"/>
      <c r="R41" s="90"/>
    </row>
    <row r="42" spans="1:18" ht="15.95" customHeight="1">
      <c r="A42" s="104" t="str">
        <f>IF(COUNTIF(B$4:B$29,B37)=1,"","3. Prüfungsfach in Block 1 nicht belegt!")</f>
        <v>3. Prüfungsfach in Block 1 nicht belegt!</v>
      </c>
      <c r="B42" s="105" t="str">
        <f>IF(COUNTIF(B35:B38,"Mathematik")+COUNTIF(B35:B38,"Biologie")+COUNTIF(B35:B38,"Chemie")+COUNTIF(B35:B38,"Physik")+COUNTIF(B35:B38,"Informatik")=0,"3. Aufgabenfeld fehlt!","")</f>
        <v>3. Aufgabenfeld fehlt!</v>
      </c>
      <c r="C42" s="92"/>
      <c r="D42" s="92"/>
      <c r="E42" s="103"/>
      <c r="F42" s="103"/>
      <c r="G42" s="103"/>
      <c r="H42" s="103"/>
      <c r="I42" s="89"/>
      <c r="J42" s="89"/>
      <c r="K42" s="89"/>
      <c r="L42" s="89"/>
      <c r="M42" s="89"/>
      <c r="N42" s="89"/>
      <c r="O42" s="89"/>
      <c r="P42" s="89"/>
      <c r="Q42" s="82"/>
      <c r="R42" s="90"/>
    </row>
    <row r="43" spans="1:18" ht="15.95" customHeight="1" thickBot="1">
      <c r="A43" s="107" t="str">
        <f>IF(COUNTIF(B$4:B$29,B38)=1,"","4. Prüfungsfach in Block 1 nicht belegt!")</f>
        <v>4. Prüfungsfach in Block 1 nicht belegt!</v>
      </c>
      <c r="B43" s="108" t="str">
        <f>IF(COUNTIF(B35:B38,B8)=0,"profilgeb. Fach fehlt!","")</f>
        <v>profilgeb. Fach fehlt!</v>
      </c>
      <c r="C43" s="109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1"/>
      <c r="R43" s="112"/>
    </row>
  </sheetData>
  <mergeCells count="50">
    <mergeCell ref="A4:A6"/>
    <mergeCell ref="B7:C7"/>
    <mergeCell ref="Q7:R7"/>
    <mergeCell ref="B9:C9"/>
    <mergeCell ref="B10:C10"/>
    <mergeCell ref="B20:C20"/>
    <mergeCell ref="B21:C23"/>
    <mergeCell ref="B14:C14"/>
    <mergeCell ref="C1:I1"/>
    <mergeCell ref="Q2:R2"/>
    <mergeCell ref="O3:P3"/>
    <mergeCell ref="B11:C11"/>
    <mergeCell ref="B12:C12"/>
    <mergeCell ref="B13:C13"/>
    <mergeCell ref="Q12:R12"/>
    <mergeCell ref="B15:C15"/>
    <mergeCell ref="B16:C16"/>
    <mergeCell ref="B17:C17"/>
    <mergeCell ref="B18:C18"/>
    <mergeCell ref="B19:C19"/>
    <mergeCell ref="E21:E23"/>
    <mergeCell ref="F21:F23"/>
    <mergeCell ref="G21:G23"/>
    <mergeCell ref="H21:H23"/>
    <mergeCell ref="B25:C25"/>
    <mergeCell ref="B24:C24"/>
    <mergeCell ref="B26:C26"/>
    <mergeCell ref="B27:C27"/>
    <mergeCell ref="B28:C28"/>
    <mergeCell ref="B29:C29"/>
    <mergeCell ref="F37:G37"/>
    <mergeCell ref="I37:J37"/>
    <mergeCell ref="E30:G30"/>
    <mergeCell ref="I30:K31"/>
    <mergeCell ref="C31:E31"/>
    <mergeCell ref="G31:H31"/>
    <mergeCell ref="F32:H32"/>
    <mergeCell ref="F34:G34"/>
    <mergeCell ref="I34:J34"/>
    <mergeCell ref="A30:C30"/>
    <mergeCell ref="Q32:R32"/>
    <mergeCell ref="F35:G35"/>
    <mergeCell ref="I35:J35"/>
    <mergeCell ref="F36:G36"/>
    <mergeCell ref="I36:J36"/>
    <mergeCell ref="F38:G38"/>
    <mergeCell ref="I38:J38"/>
    <mergeCell ref="C39:E39"/>
    <mergeCell ref="F39:G39"/>
    <mergeCell ref="C40:E40"/>
  </mergeCells>
  <dataValidations count="18">
    <dataValidation type="list" allowBlank="1" showInputMessage="1" showErrorMessage="1" sqref="C37:C38">
      <formula1>$AE$3:$AE$4</formula1>
    </dataValidation>
    <dataValidation type="list" showInputMessage="1" showErrorMessage="1" sqref="B14:C14">
      <formula1>$AB$3:$AB$4</formula1>
    </dataValidation>
    <dataValidation type="list" showInputMessage="1" showErrorMessage="1" sqref="B17:C17">
      <formula1>$Y$3:$Y$5</formula1>
    </dataValidation>
    <dataValidation type="list" allowBlank="1" showInputMessage="1" showErrorMessage="1" sqref="B29:C29">
      <formula1>$AD$3:$AD$5</formula1>
    </dataValidation>
    <dataValidation type="list" showInputMessage="1" showErrorMessage="1" sqref="B5">
      <formula1>T3:T6</formula1>
    </dataValidation>
    <dataValidation type="list" showInputMessage="1" showErrorMessage="1" sqref="B15:C15">
      <formula1>$V$3:$V$5</formula1>
    </dataValidation>
    <dataValidation type="list" showInputMessage="1" showErrorMessage="1" sqref="B16:C16">
      <formula1>$U$3:$U$4</formula1>
    </dataValidation>
    <dataValidation type="list" allowBlank="1" showInputMessage="1" showErrorMessage="1" sqref="B20:C20">
      <formula1>$V$4:$V$6</formula1>
    </dataValidation>
    <dataValidation type="list" allowBlank="1" showInputMessage="1" showErrorMessage="1" sqref="B25:C25">
      <formula1>$Z$3:$Z$6</formula1>
    </dataValidation>
    <dataValidation type="list" allowBlank="1" showInputMessage="1" showErrorMessage="1" sqref="B28:C28">
      <formula1>$AC$3:$AC$4</formula1>
    </dataValidation>
    <dataValidation type="list" allowBlank="1" showInputMessage="1" showErrorMessage="1" sqref="B27:C27">
      <formula1>$AA$3:$AA$5</formula1>
    </dataValidation>
    <dataValidation type="list" allowBlank="1" showInputMessage="1" showErrorMessage="1" sqref="B26:C26">
      <formula1>$AB$4:$AB$5</formula1>
    </dataValidation>
    <dataValidation type="list" allowBlank="1" showInputMessage="1" showErrorMessage="1" sqref="B21:B23">
      <formula1>$W$3:$W$11</formula1>
    </dataValidation>
    <dataValidation type="list" allowBlank="1" showInputMessage="1" showErrorMessage="1" sqref="B24:C24">
      <formula1>$Y$3:$Y$6</formula1>
    </dataValidation>
    <dataValidation type="list" showInputMessage="1" showErrorMessage="1" sqref="B35">
      <formula1>$T$9:$T$14</formula1>
    </dataValidation>
    <dataValidation type="list" showInputMessage="1" showErrorMessage="1" sqref="C4:C6">
      <formula1>$AE$3:$AE$4</formula1>
    </dataValidation>
    <dataValidation type="list" showInputMessage="1" showErrorMessage="1" sqref="J9 J15 J4:J6 J20:J21">
      <formula1>$AF$3:$AF$4</formula1>
    </dataValidation>
    <dataValidation type="list" showInputMessage="1" showErrorMessage="1" sqref="B36:B38">
      <formula1>$AG$3:$AG$21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43"/>
  <sheetViews>
    <sheetView workbookViewId="0"/>
  </sheetViews>
  <sheetFormatPr baseColWidth="10" defaultRowHeight="15.95" customHeight="1"/>
  <cols>
    <col min="1" max="1" width="47.140625" style="8" customWidth="1"/>
    <col min="2" max="2" width="20.5703125" style="8" customWidth="1"/>
    <col min="3" max="10" width="8.7109375" style="8" customWidth="1"/>
    <col min="11" max="16" width="8.7109375" style="8" hidden="1" customWidth="1"/>
    <col min="17" max="17" width="23" style="6" customWidth="1"/>
    <col min="18" max="18" width="23.140625" style="6" customWidth="1"/>
    <col min="19" max="19" width="16" style="6" customWidth="1"/>
    <col min="20" max="21" width="10.42578125" style="7" customWidth="1"/>
    <col min="22" max="22" width="8.5703125" style="7" customWidth="1"/>
    <col min="23" max="23" width="12.140625" style="7" customWidth="1"/>
    <col min="24" max="24" width="11.42578125" style="7" customWidth="1"/>
    <col min="25" max="25" width="7.28515625" style="7" customWidth="1"/>
    <col min="26" max="26" width="9.28515625" style="7" customWidth="1"/>
    <col min="27" max="27" width="19.28515625" style="7" customWidth="1"/>
    <col min="28" max="30" width="11.42578125" style="8" customWidth="1"/>
    <col min="31" max="31" width="3.85546875" style="8" customWidth="1"/>
    <col min="32" max="32" width="3.42578125" style="8" customWidth="1"/>
    <col min="33" max="33" width="11.42578125" style="8" customWidth="1"/>
    <col min="34" max="16384" width="11.42578125" style="8"/>
  </cols>
  <sheetData>
    <row r="1" spans="1:33" ht="15.95" customHeight="1" thickBot="1">
      <c r="A1" s="1" t="s">
        <v>82</v>
      </c>
      <c r="B1" s="3"/>
      <c r="C1" s="139" t="s">
        <v>87</v>
      </c>
      <c r="D1" s="139"/>
      <c r="E1" s="139"/>
      <c r="F1" s="139"/>
      <c r="G1" s="139"/>
      <c r="H1" s="139"/>
      <c r="I1" s="140"/>
      <c r="J1" s="3"/>
      <c r="K1" s="3"/>
      <c r="L1" s="3"/>
      <c r="M1" s="3"/>
      <c r="N1" s="3"/>
      <c r="O1" s="3"/>
      <c r="P1" s="3"/>
      <c r="Q1" s="4"/>
      <c r="R1" s="5"/>
    </row>
    <row r="2" spans="1:33" ht="15.95" customHeight="1" thickBot="1">
      <c r="A2" s="9"/>
      <c r="B2" s="10"/>
      <c r="C2" s="10"/>
      <c r="D2" s="10"/>
      <c r="E2" s="10"/>
      <c r="F2" s="10"/>
      <c r="G2" s="10"/>
      <c r="H2" s="10"/>
      <c r="Q2" s="143" t="str">
        <f>IF(I38="Fehler vorhanden","Fehlermeldungen","")</f>
        <v>Fehlermeldungen</v>
      </c>
      <c r="R2" s="144"/>
    </row>
    <row r="3" spans="1:33" s="23" customFormat="1" ht="15.95" customHeight="1" thickBot="1">
      <c r="A3" s="11" t="s">
        <v>3</v>
      </c>
      <c r="B3" s="39"/>
      <c r="C3" s="11" t="s">
        <v>4</v>
      </c>
      <c r="D3" s="13" t="s">
        <v>5</v>
      </c>
      <c r="E3" s="14" t="s">
        <v>59</v>
      </c>
      <c r="F3" s="11" t="s">
        <v>60</v>
      </c>
      <c r="G3" s="11" t="s">
        <v>61</v>
      </c>
      <c r="H3" s="135" t="s">
        <v>61</v>
      </c>
      <c r="I3" s="14" t="s">
        <v>0</v>
      </c>
      <c r="J3" s="11" t="s">
        <v>62</v>
      </c>
      <c r="K3" s="15" t="s">
        <v>75</v>
      </c>
      <c r="L3" s="15" t="s">
        <v>77</v>
      </c>
      <c r="M3" s="16" t="s">
        <v>1</v>
      </c>
      <c r="N3" s="16" t="s">
        <v>2</v>
      </c>
      <c r="O3" s="145" t="s">
        <v>80</v>
      </c>
      <c r="P3" s="145"/>
      <c r="Q3" s="48"/>
      <c r="R3" s="18" t="str">
        <f>IF(COUNTIF(C4:C6,"EN")&lt;2,"mind. 2x EN wählen!","")</f>
        <v>mind. 2x EN wählen!</v>
      </c>
      <c r="S3" s="19" t="s">
        <v>83</v>
      </c>
      <c r="T3" s="20" t="s">
        <v>20</v>
      </c>
      <c r="U3" s="7" t="s">
        <v>23</v>
      </c>
      <c r="V3" s="7" t="s">
        <v>25</v>
      </c>
      <c r="W3" s="20" t="s">
        <v>20</v>
      </c>
      <c r="X3" s="7" t="s">
        <v>30</v>
      </c>
      <c r="Y3" s="7" t="s">
        <v>33</v>
      </c>
      <c r="Z3" s="7" t="s">
        <v>35</v>
      </c>
      <c r="AA3" s="7" t="s">
        <v>32</v>
      </c>
      <c r="AB3" s="21" t="s">
        <v>9</v>
      </c>
      <c r="AC3" s="7" t="s">
        <v>39</v>
      </c>
      <c r="AD3" s="22" t="s">
        <v>9</v>
      </c>
      <c r="AE3" s="7" t="s">
        <v>64</v>
      </c>
      <c r="AF3" s="23">
        <v>1</v>
      </c>
      <c r="AG3" s="24" t="s">
        <v>6</v>
      </c>
    </row>
    <row r="4" spans="1:33" s="23" customFormat="1" ht="15.95" customHeight="1" thickBot="1">
      <c r="A4" s="156" t="s">
        <v>81</v>
      </c>
      <c r="B4" s="25" t="s">
        <v>6</v>
      </c>
      <c r="C4" s="26" t="s">
        <v>66</v>
      </c>
      <c r="D4" s="27">
        <v>4</v>
      </c>
      <c r="E4" s="75"/>
      <c r="F4" s="67"/>
      <c r="G4" s="67"/>
      <c r="H4" s="68"/>
      <c r="I4" s="31">
        <f>SUM(E4:H4)</f>
        <v>0</v>
      </c>
      <c r="J4" s="67">
        <f>IF(AND(C4="EN",OR(B4=B$35,B4=B$36,B4=B$37)),2,1)</f>
        <v>1</v>
      </c>
      <c r="K4" s="32">
        <f>IF(OR(J4=1,J4=2),I4*J4,"")</f>
        <v>0</v>
      </c>
      <c r="L4" s="32">
        <f>COUNT(E4:H4)*J4</f>
        <v>0</v>
      </c>
      <c r="M4" s="33">
        <v>300</v>
      </c>
      <c r="N4" s="34">
        <v>4</v>
      </c>
      <c r="O4" s="33" t="str">
        <f t="shared" ref="O4:O32" si="0">IF(P5&lt;&gt;"","",IF($F$38&gt;=M4,N4,""))</f>
        <v/>
      </c>
      <c r="P4" s="33" t="str">
        <f t="shared" ref="P4:P32" si="1">O4&amp;""&amp;P5</f>
        <v/>
      </c>
      <c r="Q4" s="48" t="str">
        <f>IF(COUNTBLANK(E4:H4)&gt;0,"Alle 4 Noten eintragen!",IF(COUNTIF(E4:H4,0)&gt;0,"0 Punkte  =&gt; nicht best.!",""))</f>
        <v>Alle 4 Noten eintragen!</v>
      </c>
      <c r="R4" s="18" t="str">
        <f>IF(C4="Niveau?","Niveau wählen!","")</f>
        <v>Niveau wählen!</v>
      </c>
      <c r="S4" s="35" t="str">
        <f>IF(J4=2,IF(AND(OR(B4=B$35,B4=B$36,B4=B$37),C4="EN"),"ja","nein"),"")</f>
        <v/>
      </c>
      <c r="T4" s="7" t="s">
        <v>21</v>
      </c>
      <c r="U4" s="7" t="s">
        <v>24</v>
      </c>
      <c r="V4" s="7" t="s">
        <v>26</v>
      </c>
      <c r="W4" s="7" t="s">
        <v>21</v>
      </c>
      <c r="X4" s="7" t="s">
        <v>31</v>
      </c>
      <c r="Y4" s="7" t="s">
        <v>34</v>
      </c>
      <c r="Z4" s="7" t="s">
        <v>36</v>
      </c>
      <c r="AA4" s="7" t="s">
        <v>38</v>
      </c>
      <c r="AB4" s="7" t="s">
        <v>41</v>
      </c>
      <c r="AC4" s="7" t="s">
        <v>42</v>
      </c>
      <c r="AD4" s="22" t="s">
        <v>11</v>
      </c>
      <c r="AE4" s="7" t="s">
        <v>65</v>
      </c>
      <c r="AF4" s="23">
        <v>2</v>
      </c>
      <c r="AG4" s="7" t="s">
        <v>7</v>
      </c>
    </row>
    <row r="5" spans="1:33" s="23" customFormat="1" ht="15.95" customHeight="1" thickBot="1">
      <c r="A5" s="157"/>
      <c r="B5" s="62" t="s">
        <v>84</v>
      </c>
      <c r="C5" s="26" t="s">
        <v>66</v>
      </c>
      <c r="D5" s="27">
        <v>4</v>
      </c>
      <c r="E5" s="75"/>
      <c r="F5" s="67"/>
      <c r="G5" s="67"/>
      <c r="H5" s="68"/>
      <c r="I5" s="31">
        <f>SUM(E5:H5)</f>
        <v>0</v>
      </c>
      <c r="J5" s="67">
        <f>IF(AND(C5="EN",OR(B5=B$35,B5=B$36,B5=B$37)),2,1)</f>
        <v>1</v>
      </c>
      <c r="K5" s="32">
        <f>IF(OR(J5=1,J5=2),I5*J5,"")</f>
        <v>0</v>
      </c>
      <c r="L5" s="32">
        <f>COUNT(E5:H5)*J5</f>
        <v>0</v>
      </c>
      <c r="M5" s="33">
        <v>301</v>
      </c>
      <c r="N5" s="37">
        <v>3.9</v>
      </c>
      <c r="O5" s="33" t="str">
        <f t="shared" si="0"/>
        <v/>
      </c>
      <c r="P5" s="33" t="str">
        <f t="shared" si="1"/>
        <v/>
      </c>
      <c r="Q5" s="48" t="str">
        <f>IF(COUNTBLANK(E5:H5)&gt;0,"Alle 4 Noten eintragen!",IF(COUNTIF(E5:H5,0)&gt;0,"0 Punkte  =&gt; nicht best.!",""))</f>
        <v>Alle 4 Noten eintragen!</v>
      </c>
      <c r="R5" s="18" t="str">
        <f>IF(C5="Niveau?","Niveau wählen!","")</f>
        <v>Niveau wählen!</v>
      </c>
      <c r="S5" s="35" t="str">
        <f t="shared" ref="S5:S6" si="2">IF(J5=2,IF(AND(OR(B5=B$35,B5=B$36,B5=B$37),C5="EN"),"ja","nein"),"")</f>
        <v/>
      </c>
      <c r="T5" s="24" t="s">
        <v>28</v>
      </c>
      <c r="U5" s="7"/>
      <c r="V5" s="7" t="s">
        <v>27</v>
      </c>
      <c r="W5" s="24" t="s">
        <v>28</v>
      </c>
      <c r="X5" s="7" t="s">
        <v>32</v>
      </c>
      <c r="Y5" s="7" t="s">
        <v>42</v>
      </c>
      <c r="Z5" s="7" t="s">
        <v>37</v>
      </c>
      <c r="AA5" s="7" t="s">
        <v>42</v>
      </c>
      <c r="AB5" s="7" t="s">
        <v>42</v>
      </c>
      <c r="AD5" s="22" t="s">
        <v>42</v>
      </c>
      <c r="AG5" s="20" t="s">
        <v>20</v>
      </c>
    </row>
    <row r="6" spans="1:33" s="23" customFormat="1" ht="15.95" customHeight="1" thickBot="1">
      <c r="A6" s="158"/>
      <c r="B6" s="25" t="s">
        <v>7</v>
      </c>
      <c r="C6" s="26" t="s">
        <v>66</v>
      </c>
      <c r="D6" s="27">
        <v>4</v>
      </c>
      <c r="E6" s="75"/>
      <c r="F6" s="67"/>
      <c r="G6" s="67"/>
      <c r="H6" s="68"/>
      <c r="I6" s="31">
        <f>SUM(E6:H6)</f>
        <v>0</v>
      </c>
      <c r="J6" s="67">
        <f>IF(AND(C6="EN",OR(B6=B$35,B6=B$36,B6=B$37)),2,1)</f>
        <v>1</v>
      </c>
      <c r="K6" s="32">
        <f>IF(OR(J6=1,J6=2),I6*J6,"")</f>
        <v>0</v>
      </c>
      <c r="L6" s="32">
        <f>COUNT(E6:H6)*J6</f>
        <v>0</v>
      </c>
      <c r="M6" s="33">
        <v>319</v>
      </c>
      <c r="N6" s="37">
        <v>3.8</v>
      </c>
      <c r="O6" s="33" t="str">
        <f t="shared" si="0"/>
        <v/>
      </c>
      <c r="P6" s="33" t="str">
        <f t="shared" si="1"/>
        <v/>
      </c>
      <c r="Q6" s="48" t="str">
        <f>IF(COUNTBLANK(E6:H6)&gt;0,"Alle 4 Noten eintragen!",IF(COUNTIF(E6:H6,0)&gt;0,"0 Punkte  =&gt; nicht best.!",""))</f>
        <v>Alle 4 Noten eintragen!</v>
      </c>
      <c r="R6" s="18" t="str">
        <f>IF(C6="Niveau?","Niveau wählen!","")</f>
        <v>Niveau wählen!</v>
      </c>
      <c r="S6" s="35" t="str">
        <f t="shared" si="2"/>
        <v/>
      </c>
      <c r="T6" s="7" t="s">
        <v>22</v>
      </c>
      <c r="U6" s="7"/>
      <c r="V6" s="7" t="s">
        <v>42</v>
      </c>
      <c r="W6" s="7" t="s">
        <v>22</v>
      </c>
      <c r="X6" s="7" t="s">
        <v>42</v>
      </c>
      <c r="Z6" s="7" t="s">
        <v>42</v>
      </c>
      <c r="AA6" s="7"/>
      <c r="AG6" s="7" t="s">
        <v>21</v>
      </c>
    </row>
    <row r="7" spans="1:33" s="23" customFormat="1" ht="15.95" customHeight="1" thickBot="1">
      <c r="A7" s="38" t="s">
        <v>8</v>
      </c>
      <c r="B7" s="148"/>
      <c r="C7" s="149"/>
      <c r="D7" s="40"/>
      <c r="E7" s="41"/>
      <c r="F7" s="42"/>
      <c r="G7" s="42"/>
      <c r="H7" s="43"/>
      <c r="I7" s="44"/>
      <c r="J7" s="42"/>
      <c r="K7" s="45"/>
      <c r="L7" s="45"/>
      <c r="M7" s="46">
        <v>337</v>
      </c>
      <c r="N7" s="47">
        <v>3.7</v>
      </c>
      <c r="O7" s="46" t="str">
        <f t="shared" si="0"/>
        <v/>
      </c>
      <c r="P7" s="46" t="str">
        <f t="shared" si="1"/>
        <v/>
      </c>
      <c r="Q7" s="137" t="str">
        <f>IF(COUNTIF(J4:J6,2)=0,"Faktor e. EN-Kern- u. schr. Pr.fachs muss 2 sein!",IF(AND(COUNTIF(J4:J6,2)=1,S7=1),"Faktor e. EN-Kern u. schr. Pr.fachs muss 2 sein!",IF(AND(COUNTIF(J4:J6,2)=2,S7=2),"Faktor e. EN-Kern u. schr. Pr.fachs muss 2 sein!",IF(AND(COUNTIF(J4:J6,2)=3,S7=3),"Faktor e. EN-Kern u. schr. Pr.fachs muss 2 sein!",""))))</f>
        <v>Faktor e. EN-Kern- u. schr. Pr.fachs muss 2 sein!</v>
      </c>
      <c r="R7" s="159"/>
      <c r="S7" s="49">
        <f>COUNTIF(S4:S6,"nein")</f>
        <v>0</v>
      </c>
      <c r="T7" s="24"/>
      <c r="U7" s="7"/>
      <c r="V7" s="7"/>
      <c r="W7" s="7" t="s">
        <v>29</v>
      </c>
      <c r="X7" s="7"/>
      <c r="Y7" s="7"/>
      <c r="Z7" s="7"/>
      <c r="AA7" s="7"/>
      <c r="AG7" s="24" t="s">
        <v>28</v>
      </c>
    </row>
    <row r="8" spans="1:33" s="23" customFormat="1" ht="15.95" customHeight="1" thickBot="1">
      <c r="A8" s="50" t="s">
        <v>44</v>
      </c>
      <c r="B8" s="53" t="s">
        <v>11</v>
      </c>
      <c r="C8" s="52" t="s">
        <v>64</v>
      </c>
      <c r="D8" s="27">
        <v>4</v>
      </c>
      <c r="E8" s="75"/>
      <c r="F8" s="67"/>
      <c r="G8" s="67"/>
      <c r="H8" s="68"/>
      <c r="I8" s="31">
        <f>SUM(E8:H8)</f>
        <v>0</v>
      </c>
      <c r="J8" s="52">
        <v>2</v>
      </c>
      <c r="K8" s="45">
        <f>IF(OR(J8=1,J8=2),I8*J8,"")</f>
        <v>0</v>
      </c>
      <c r="L8" s="45">
        <f>COUNT(E8:H8)*J8</f>
        <v>0</v>
      </c>
      <c r="M8" s="46">
        <v>355</v>
      </c>
      <c r="N8" s="47">
        <v>3.6</v>
      </c>
      <c r="O8" s="46" t="str">
        <f t="shared" si="0"/>
        <v/>
      </c>
      <c r="P8" s="46" t="str">
        <f t="shared" si="1"/>
        <v/>
      </c>
      <c r="Q8" s="48" t="str">
        <f>IF(COUNTBLANK(E8:H8)&gt;0,"Alle 4 Noten eintragen!","")</f>
        <v>Alle 4 Noten eintragen!</v>
      </c>
      <c r="R8" s="18" t="str">
        <f>IF(OR(B8=B$36,B8=B$37,B8=B$38),IF(COUNTIF(E8:H8,0)&gt;0,"0 Punkte  =&gt; nicht best.!",""),"")</f>
        <v/>
      </c>
      <c r="S8" s="49"/>
      <c r="T8" s="24"/>
      <c r="U8" s="7"/>
      <c r="V8" s="7"/>
      <c r="W8" s="7" t="s">
        <v>30</v>
      </c>
      <c r="X8" s="7"/>
      <c r="Y8" s="7"/>
      <c r="Z8" s="7"/>
      <c r="AA8" s="7"/>
      <c r="AG8" s="7" t="s">
        <v>22</v>
      </c>
    </row>
    <row r="9" spans="1:33" s="23" customFormat="1" ht="15.95" customHeight="1" thickBot="1">
      <c r="A9" s="50" t="s">
        <v>45</v>
      </c>
      <c r="B9" s="146" t="s">
        <v>9</v>
      </c>
      <c r="C9" s="147"/>
      <c r="D9" s="27">
        <v>2</v>
      </c>
      <c r="E9" s="75"/>
      <c r="F9" s="67"/>
      <c r="G9" s="67"/>
      <c r="H9" s="68"/>
      <c r="I9" s="31">
        <f>SUM(E9:H9)</f>
        <v>0</v>
      </c>
      <c r="J9" s="52">
        <f>IF(OR(D9=2,D9=4),1,"")</f>
        <v>1</v>
      </c>
      <c r="K9" s="45">
        <f>IF(OR(J9=1,J9=2),I9*J9,"")</f>
        <v>0</v>
      </c>
      <c r="L9" s="45">
        <f>COUNT(E9:H9)*J9</f>
        <v>0</v>
      </c>
      <c r="M9" s="46">
        <v>373</v>
      </c>
      <c r="N9" s="47">
        <v>3.5</v>
      </c>
      <c r="O9" s="46" t="str">
        <f t="shared" si="0"/>
        <v/>
      </c>
      <c r="P9" s="46" t="str">
        <f t="shared" si="1"/>
        <v/>
      </c>
      <c r="Q9" s="48" t="str">
        <f t="shared" ref="Q9:Q29" si="3">IF(OR(B9=B$36,B9=B$37,B9=B$38),IF(COUNTBLANK(E9:H9)&gt;0,"Alle 4 Noten eintragen!",""),"")</f>
        <v/>
      </c>
      <c r="R9" s="18" t="str">
        <f t="shared" ref="R9:R18" si="4">IF(OR(B9=B$36,B9=B$37,B9=B$38),IF(COUNTIF(E9:H9,0)&gt;0,"0 Punkte  =&gt; nicht best.!",""),"")</f>
        <v/>
      </c>
      <c r="S9" s="49"/>
      <c r="T9" s="24" t="s">
        <v>6</v>
      </c>
      <c r="U9" s="7"/>
      <c r="V9" s="7"/>
      <c r="W9" s="7" t="s">
        <v>31</v>
      </c>
      <c r="X9" s="7"/>
      <c r="Y9" s="7"/>
      <c r="Z9" s="7"/>
      <c r="AA9" s="7"/>
      <c r="AG9" s="7" t="s">
        <v>25</v>
      </c>
    </row>
    <row r="10" spans="1:33" s="23" customFormat="1" ht="15.95" customHeight="1" thickBot="1">
      <c r="A10" s="50" t="s">
        <v>45</v>
      </c>
      <c r="B10" s="146" t="s">
        <v>49</v>
      </c>
      <c r="C10" s="147"/>
      <c r="D10" s="27">
        <v>2</v>
      </c>
      <c r="E10" s="75"/>
      <c r="F10" s="67"/>
      <c r="G10" s="67"/>
      <c r="H10" s="68"/>
      <c r="I10" s="31">
        <f>IF(D10="","",SUM(E10:H10))</f>
        <v>0</v>
      </c>
      <c r="J10" s="52">
        <f>IF(D10=2,1,"")</f>
        <v>1</v>
      </c>
      <c r="K10" s="45">
        <f>IF(OR(J10=1,J10=2),I10*J10,"")</f>
        <v>0</v>
      </c>
      <c r="L10" s="45">
        <f>COUNT(E10:H10)*J10</f>
        <v>0</v>
      </c>
      <c r="M10" s="46">
        <v>391</v>
      </c>
      <c r="N10" s="47">
        <v>3.4</v>
      </c>
      <c r="O10" s="46" t="str">
        <f t="shared" si="0"/>
        <v/>
      </c>
      <c r="P10" s="46" t="str">
        <f t="shared" si="1"/>
        <v/>
      </c>
      <c r="Q10" s="48" t="str">
        <f t="shared" si="3"/>
        <v/>
      </c>
      <c r="R10" s="18" t="str">
        <f t="shared" si="4"/>
        <v/>
      </c>
      <c r="S10" s="49"/>
      <c r="T10" s="7" t="s">
        <v>7</v>
      </c>
      <c r="U10" s="7"/>
      <c r="V10" s="7"/>
      <c r="W10" s="7" t="s">
        <v>32</v>
      </c>
      <c r="X10" s="7"/>
      <c r="Y10" s="7"/>
      <c r="Z10" s="7"/>
      <c r="AA10" s="7"/>
      <c r="AG10" s="7" t="s">
        <v>26</v>
      </c>
    </row>
    <row r="11" spans="1:33" s="23" customFormat="1" ht="15.95" customHeight="1" thickBot="1">
      <c r="A11" s="50" t="s">
        <v>12</v>
      </c>
      <c r="B11" s="146" t="s">
        <v>12</v>
      </c>
      <c r="C11" s="147"/>
      <c r="D11" s="27">
        <v>2</v>
      </c>
      <c r="E11" s="75"/>
      <c r="F11" s="67"/>
      <c r="G11" s="67"/>
      <c r="H11" s="68"/>
      <c r="I11" s="31">
        <f>IF(D11="","",SUM(E11:H11))</f>
        <v>0</v>
      </c>
      <c r="J11" s="52">
        <f>IF(D11=2,1,"")</f>
        <v>1</v>
      </c>
      <c r="K11" s="45">
        <f>IF(OR(J11=1,J11=2),I11*J11,"")</f>
        <v>0</v>
      </c>
      <c r="L11" s="45">
        <f>COUNT(E11:H11)*J11</f>
        <v>0</v>
      </c>
      <c r="M11" s="46">
        <v>409</v>
      </c>
      <c r="N11" s="47">
        <v>3.3</v>
      </c>
      <c r="O11" s="46" t="str">
        <f t="shared" si="0"/>
        <v/>
      </c>
      <c r="P11" s="46" t="str">
        <f t="shared" si="1"/>
        <v/>
      </c>
      <c r="Q11" s="48" t="str">
        <f t="shared" si="3"/>
        <v/>
      </c>
      <c r="R11" s="18" t="str">
        <f t="shared" si="4"/>
        <v/>
      </c>
      <c r="S11" s="49"/>
      <c r="T11" s="20" t="s">
        <v>20</v>
      </c>
      <c r="U11" s="7"/>
      <c r="V11" s="7"/>
      <c r="W11" s="7" t="s">
        <v>42</v>
      </c>
      <c r="X11" s="7"/>
      <c r="Y11" s="7"/>
      <c r="Z11" s="7"/>
      <c r="AA11" s="7"/>
      <c r="AG11" s="7" t="s">
        <v>27</v>
      </c>
    </row>
    <row r="12" spans="1:33" s="23" customFormat="1" ht="15.95" customHeight="1" thickBot="1">
      <c r="A12" s="38" t="s">
        <v>13</v>
      </c>
      <c r="B12" s="148"/>
      <c r="C12" s="149"/>
      <c r="D12" s="40"/>
      <c r="E12" s="41"/>
      <c r="F12" s="42"/>
      <c r="G12" s="42"/>
      <c r="H12" s="43"/>
      <c r="I12" s="44"/>
      <c r="J12" s="42"/>
      <c r="K12" s="45"/>
      <c r="L12" s="45"/>
      <c r="M12" s="46">
        <v>427</v>
      </c>
      <c r="N12" s="47">
        <v>3.2</v>
      </c>
      <c r="O12" s="46" t="str">
        <f t="shared" si="0"/>
        <v/>
      </c>
      <c r="P12" s="46" t="str">
        <f t="shared" si="1"/>
        <v/>
      </c>
      <c r="Q12" s="137"/>
      <c r="R12" s="154"/>
      <c r="S12" s="49"/>
      <c r="T12" s="7" t="s">
        <v>21</v>
      </c>
      <c r="U12" s="7"/>
      <c r="V12" s="7"/>
      <c r="W12" s="7"/>
      <c r="X12" s="7"/>
      <c r="Y12" s="7"/>
      <c r="Z12" s="7"/>
      <c r="AA12" s="7"/>
      <c r="AG12" s="21" t="s">
        <v>9</v>
      </c>
    </row>
    <row r="13" spans="1:33" s="60" customFormat="1" ht="15.95" hidden="1" customHeight="1" thickBot="1">
      <c r="A13" s="54"/>
      <c r="B13" s="150"/>
      <c r="C13" s="151"/>
      <c r="D13" s="55"/>
      <c r="E13" s="56"/>
      <c r="F13" s="57"/>
      <c r="G13" s="57"/>
      <c r="H13" s="58"/>
      <c r="I13" s="31"/>
      <c r="J13" s="52"/>
      <c r="K13" s="45"/>
      <c r="L13" s="45"/>
      <c r="M13" s="46"/>
      <c r="N13" s="47"/>
      <c r="O13" s="46"/>
      <c r="P13" s="46"/>
      <c r="Q13" s="48"/>
      <c r="R13" s="18"/>
      <c r="S13" s="59"/>
      <c r="T13" s="24" t="s">
        <v>28</v>
      </c>
      <c r="U13" s="7"/>
      <c r="V13" s="7"/>
      <c r="W13" s="7"/>
      <c r="X13" s="7"/>
      <c r="Y13" s="7"/>
      <c r="Z13" s="7"/>
      <c r="AA13" s="7"/>
      <c r="AG13" s="7" t="s">
        <v>41</v>
      </c>
    </row>
    <row r="14" spans="1:33" s="60" customFormat="1" ht="15.95" hidden="1" customHeight="1" thickBot="1">
      <c r="A14" s="61"/>
      <c r="B14" s="152"/>
      <c r="C14" s="153"/>
      <c r="D14" s="63"/>
      <c r="E14" s="56"/>
      <c r="F14" s="57"/>
      <c r="G14" s="57"/>
      <c r="H14" s="58"/>
      <c r="I14" s="31"/>
      <c r="J14" s="52"/>
      <c r="K14" s="45"/>
      <c r="L14" s="45"/>
      <c r="M14" s="46"/>
      <c r="N14" s="64"/>
      <c r="O14" s="46"/>
      <c r="P14" s="46"/>
      <c r="Q14" s="48"/>
      <c r="R14" s="18"/>
      <c r="S14" s="59"/>
      <c r="T14" s="7" t="s">
        <v>22</v>
      </c>
      <c r="U14" s="7"/>
      <c r="V14" s="7"/>
      <c r="W14" s="7"/>
      <c r="X14" s="7"/>
      <c r="Y14" s="7"/>
      <c r="Z14" s="7"/>
      <c r="AA14" s="7"/>
      <c r="AG14" s="22" t="s">
        <v>11</v>
      </c>
    </row>
    <row r="15" spans="1:33" s="23" customFormat="1" ht="15.95" customHeight="1" thickBot="1">
      <c r="A15" s="50" t="s">
        <v>47</v>
      </c>
      <c r="B15" s="141" t="s">
        <v>40</v>
      </c>
      <c r="C15" s="142"/>
      <c r="D15" s="27">
        <v>4</v>
      </c>
      <c r="E15" s="75"/>
      <c r="F15" s="67"/>
      <c r="G15" s="67"/>
      <c r="H15" s="68"/>
      <c r="I15" s="31">
        <f t="shared" ref="I15:I18" si="5">IF(D15="","",SUM(E15:H15))</f>
        <v>0</v>
      </c>
      <c r="J15" s="67">
        <f>IF(D15=4,1,"")</f>
        <v>1</v>
      </c>
      <c r="K15" s="45">
        <f t="shared" ref="K15:K18" si="6">IF(OR(J15=1,J15=2),I15*J15,"")</f>
        <v>0</v>
      </c>
      <c r="L15" s="45" t="str">
        <f t="shared" ref="L15:L18" si="7">IF(COUNT(E15:H15)=0,"",COUNT(E15:H15)*J15)</f>
        <v/>
      </c>
      <c r="M15" s="46">
        <v>481</v>
      </c>
      <c r="N15" s="47">
        <v>2.9</v>
      </c>
      <c r="O15" s="46" t="str">
        <f t="shared" si="0"/>
        <v/>
      </c>
      <c r="P15" s="46" t="str">
        <f t="shared" si="1"/>
        <v/>
      </c>
      <c r="Q15" s="48" t="str">
        <f>IF(COUNTBLANK(E15:H15)&gt;0,"Alle 4 Noten eintragen!","")</f>
        <v>Alle 4 Noten eintragen!</v>
      </c>
      <c r="R15" s="18" t="str">
        <f t="shared" si="4"/>
        <v/>
      </c>
      <c r="S15" s="49"/>
      <c r="U15" s="7"/>
      <c r="V15" s="7"/>
      <c r="W15" s="7"/>
      <c r="X15" s="7"/>
      <c r="Y15" s="7"/>
      <c r="Z15" s="7"/>
      <c r="AA15" s="7"/>
      <c r="AG15" s="7" t="s">
        <v>23</v>
      </c>
    </row>
    <row r="16" spans="1:33" s="23" customFormat="1" ht="15.95" customHeight="1" thickBot="1">
      <c r="A16" s="50" t="s">
        <v>48</v>
      </c>
      <c r="B16" s="141" t="s">
        <v>40</v>
      </c>
      <c r="C16" s="142"/>
      <c r="D16" s="27">
        <v>2</v>
      </c>
      <c r="E16" s="75"/>
      <c r="F16" s="67"/>
      <c r="G16" s="67"/>
      <c r="H16" s="68"/>
      <c r="I16" s="31">
        <f t="shared" si="5"/>
        <v>0</v>
      </c>
      <c r="J16" s="52">
        <f>IF(D16=2,1,"")</f>
        <v>1</v>
      </c>
      <c r="K16" s="45">
        <f t="shared" si="6"/>
        <v>0</v>
      </c>
      <c r="L16" s="45" t="str">
        <f t="shared" si="7"/>
        <v/>
      </c>
      <c r="M16" s="46">
        <v>499</v>
      </c>
      <c r="N16" s="47">
        <v>2.8</v>
      </c>
      <c r="O16" s="46" t="str">
        <f t="shared" si="0"/>
        <v/>
      </c>
      <c r="P16" s="46" t="str">
        <f t="shared" si="1"/>
        <v/>
      </c>
      <c r="Q16" s="48" t="str">
        <f t="shared" si="3"/>
        <v/>
      </c>
      <c r="R16" s="18" t="str">
        <f t="shared" si="4"/>
        <v/>
      </c>
      <c r="S16" s="49"/>
      <c r="T16" s="7"/>
      <c r="U16" s="7"/>
      <c r="V16" s="7"/>
      <c r="W16" s="7"/>
      <c r="X16" s="7"/>
      <c r="Y16" s="7"/>
      <c r="Z16" s="7"/>
      <c r="AA16" s="7"/>
      <c r="AG16" s="7" t="s">
        <v>24</v>
      </c>
    </row>
    <row r="17" spans="1:33" s="23" customFormat="1" ht="15.95" hidden="1" customHeight="1" thickBot="1">
      <c r="A17" s="50"/>
      <c r="B17" s="141"/>
      <c r="C17" s="142"/>
      <c r="D17" s="27"/>
      <c r="E17" s="75"/>
      <c r="F17" s="67"/>
      <c r="G17" s="67"/>
      <c r="H17" s="68"/>
      <c r="I17" s="31"/>
      <c r="J17" s="52"/>
      <c r="K17" s="45"/>
      <c r="L17" s="45"/>
      <c r="M17" s="46"/>
      <c r="N17" s="47"/>
      <c r="O17" s="46"/>
      <c r="P17" s="46"/>
      <c r="Q17" s="48"/>
      <c r="R17" s="18"/>
      <c r="S17" s="49"/>
      <c r="U17" s="7"/>
      <c r="V17" s="7"/>
      <c r="W17" s="7"/>
      <c r="X17" s="7"/>
      <c r="Y17" s="7"/>
      <c r="Z17" s="7"/>
      <c r="AA17" s="7"/>
      <c r="AG17" s="7" t="s">
        <v>33</v>
      </c>
    </row>
    <row r="18" spans="1:33" s="23" customFormat="1" ht="15.95" customHeight="1" thickBot="1">
      <c r="A18" s="50" t="s">
        <v>14</v>
      </c>
      <c r="B18" s="146" t="s">
        <v>14</v>
      </c>
      <c r="C18" s="155"/>
      <c r="D18" s="27">
        <v>2</v>
      </c>
      <c r="E18" s="75"/>
      <c r="F18" s="67"/>
      <c r="G18" s="67"/>
      <c r="H18" s="68"/>
      <c r="I18" s="31">
        <f t="shared" si="5"/>
        <v>0</v>
      </c>
      <c r="J18" s="52">
        <f>IF(D18=2,1,"")</f>
        <v>1</v>
      </c>
      <c r="K18" s="45">
        <f t="shared" si="6"/>
        <v>0</v>
      </c>
      <c r="L18" s="45" t="str">
        <f t="shared" si="7"/>
        <v/>
      </c>
      <c r="M18" s="46">
        <v>535</v>
      </c>
      <c r="N18" s="47">
        <v>2.6</v>
      </c>
      <c r="O18" s="46" t="str">
        <f t="shared" si="0"/>
        <v/>
      </c>
      <c r="P18" s="46" t="str">
        <f t="shared" si="1"/>
        <v/>
      </c>
      <c r="Q18" s="48" t="str">
        <f t="shared" si="3"/>
        <v/>
      </c>
      <c r="R18" s="18" t="str">
        <f t="shared" si="4"/>
        <v/>
      </c>
      <c r="S18" s="49"/>
      <c r="U18" s="7"/>
      <c r="V18" s="7"/>
      <c r="W18" s="7"/>
      <c r="X18" s="7"/>
      <c r="Y18" s="7"/>
      <c r="Z18" s="7"/>
      <c r="AA18" s="7"/>
      <c r="AG18" s="7" t="s">
        <v>49</v>
      </c>
    </row>
    <row r="19" spans="1:33" s="23" customFormat="1" ht="15.95" customHeight="1" thickBot="1">
      <c r="A19" s="38" t="s">
        <v>15</v>
      </c>
      <c r="B19" s="148"/>
      <c r="C19" s="149"/>
      <c r="D19" s="40"/>
      <c r="E19" s="41"/>
      <c r="F19" s="42"/>
      <c r="G19" s="42"/>
      <c r="H19" s="43"/>
      <c r="I19" s="44"/>
      <c r="J19" s="42"/>
      <c r="K19" s="45"/>
      <c r="L19" s="45"/>
      <c r="M19" s="46">
        <v>553</v>
      </c>
      <c r="N19" s="47">
        <v>2.5</v>
      </c>
      <c r="O19" s="46" t="str">
        <f t="shared" si="0"/>
        <v/>
      </c>
      <c r="P19" s="46" t="str">
        <f t="shared" si="1"/>
        <v/>
      </c>
      <c r="Q19" s="48" t="str">
        <f>IF(OR(B13="Auswahlliste!",B14="Auswahlliste!",B15="Auswahlliste!",B16="Auswahlliste!",B17="Auswahlliste!"),"Wahlpfl.fächer wählen!","")</f>
        <v>Wahlpfl.fächer wählen!</v>
      </c>
      <c r="R19" s="18"/>
      <c r="S19" s="49"/>
      <c r="U19" s="7"/>
      <c r="V19" s="7"/>
      <c r="W19" s="7"/>
      <c r="X19" s="7"/>
      <c r="Y19" s="7"/>
      <c r="Z19" s="7"/>
      <c r="AA19" s="7"/>
      <c r="AG19" s="7" t="s">
        <v>34</v>
      </c>
    </row>
    <row r="20" spans="1:33" s="23" customFormat="1" ht="15.95" customHeight="1" thickBot="1">
      <c r="A20" s="50" t="s">
        <v>56</v>
      </c>
      <c r="B20" s="141" t="s">
        <v>42</v>
      </c>
      <c r="C20" s="142"/>
      <c r="D20" s="27" t="str">
        <f>IF(OR(B20=V3,B20=V4,B20=V5),4,"")</f>
        <v/>
      </c>
      <c r="E20" s="75"/>
      <c r="F20" s="67"/>
      <c r="G20" s="67"/>
      <c r="H20" s="68"/>
      <c r="I20" s="31" t="str">
        <f>IF(D20="","",SUM(E20:H20))</f>
        <v/>
      </c>
      <c r="J20" s="136" t="str">
        <f>IF(D20=4,1,"")</f>
        <v/>
      </c>
      <c r="K20" s="45" t="str">
        <f t="shared" ref="K20:K28" si="8">IF(OR(J20=1,J20=2),I20*J20,"")</f>
        <v/>
      </c>
      <c r="L20" s="45" t="str">
        <f t="shared" ref="L20:L28" si="9">IF(COUNT(E20:H20)=0,"",COUNT(E20:H20)*J20)</f>
        <v/>
      </c>
      <c r="M20" s="46">
        <v>571</v>
      </c>
      <c r="N20" s="47">
        <v>2.4</v>
      </c>
      <c r="O20" s="46" t="str">
        <f t="shared" si="0"/>
        <v/>
      </c>
      <c r="P20" s="46" t="str">
        <f t="shared" si="1"/>
        <v/>
      </c>
      <c r="Q20" s="48" t="str">
        <f t="shared" si="3"/>
        <v/>
      </c>
      <c r="R20" s="18" t="str">
        <f t="shared" ref="R20:R27" si="10">IF(AND(COUNTBLANK(E20:H20)&lt;4,D20=""),"Fach auswählen!",IF(OR(B20=B$36,B20=B$37,B20=B$38),IF(COUNTIF(E20:H20,0)&gt;0,"0 Punkte  =&gt; nicht best.!",""),""))</f>
        <v/>
      </c>
      <c r="S20" s="49"/>
      <c r="U20" s="7"/>
      <c r="V20" s="7"/>
      <c r="W20" s="7"/>
      <c r="X20" s="7"/>
      <c r="Y20" s="7"/>
      <c r="Z20" s="7"/>
      <c r="AA20" s="7"/>
      <c r="AG20" s="21" t="s">
        <v>39</v>
      </c>
    </row>
    <row r="21" spans="1:33" s="23" customFormat="1" ht="15.95" customHeight="1" thickBot="1">
      <c r="A21" s="65" t="s">
        <v>55</v>
      </c>
      <c r="B21" s="160" t="s">
        <v>42</v>
      </c>
      <c r="C21" s="161"/>
      <c r="D21" s="66" t="str">
        <f>IF(OR(B21=W3,B21=W4,B21=W5,B21=W6),4,"")</f>
        <v/>
      </c>
      <c r="E21" s="166"/>
      <c r="F21" s="169"/>
      <c r="G21" s="169"/>
      <c r="H21" s="170"/>
      <c r="I21" s="69" t="str">
        <f>IF(D21="","",SUM(E21:H21))</f>
        <v/>
      </c>
      <c r="J21" s="70" t="str">
        <f>IF(D21=4,1,"")</f>
        <v/>
      </c>
      <c r="K21" s="45" t="str">
        <f t="shared" si="8"/>
        <v/>
      </c>
      <c r="L21" s="45" t="str">
        <f t="shared" si="9"/>
        <v/>
      </c>
      <c r="M21" s="46">
        <v>589</v>
      </c>
      <c r="N21" s="47">
        <v>2.2999999999999998</v>
      </c>
      <c r="O21" s="46" t="str">
        <f t="shared" si="0"/>
        <v/>
      </c>
      <c r="P21" s="46" t="str">
        <f t="shared" si="1"/>
        <v/>
      </c>
      <c r="Q21" s="48" t="str">
        <f t="shared" si="3"/>
        <v/>
      </c>
      <c r="R21" s="18" t="str">
        <f>IF(AND(COUNTBLANK(E21:H21)&lt;4,D21=""),"Fach auswählen!",IF(OR(B21=B$36,B21=B$37,B21=B$38),IF(COUNTIF(E21:H21,0)&gt;0,"0 Punkte  =&gt; nicht best.!",""),""))</f>
        <v/>
      </c>
      <c r="S21" s="49"/>
      <c r="U21" s="7"/>
      <c r="V21" s="7"/>
      <c r="W21" s="7"/>
      <c r="X21" s="7"/>
      <c r="Y21" s="7"/>
      <c r="Z21" s="7"/>
      <c r="AA21" s="7"/>
      <c r="AG21" s="7" t="s">
        <v>14</v>
      </c>
    </row>
    <row r="22" spans="1:33" s="23" customFormat="1" ht="15.95" customHeight="1" thickBot="1">
      <c r="A22" s="65" t="s">
        <v>16</v>
      </c>
      <c r="B22" s="162"/>
      <c r="C22" s="163"/>
      <c r="D22" s="71" t="str">
        <f>IF(B21=W7,2,"")</f>
        <v/>
      </c>
      <c r="E22" s="167"/>
      <c r="F22" s="169"/>
      <c r="G22" s="169"/>
      <c r="H22" s="170"/>
      <c r="I22" s="72" t="str">
        <f>IF(D22="","",SUM(E22:H22))</f>
        <v/>
      </c>
      <c r="J22" s="73" t="str">
        <f t="shared" ref="J22:J29" si="11">IF(D22=2,1,"")</f>
        <v/>
      </c>
      <c r="K22" s="45" t="str">
        <f t="shared" si="8"/>
        <v/>
      </c>
      <c r="L22" s="45" t="str">
        <f t="shared" si="9"/>
        <v/>
      </c>
      <c r="M22" s="46">
        <v>607</v>
      </c>
      <c r="N22" s="47">
        <v>2.2000000000000002</v>
      </c>
      <c r="O22" s="46" t="str">
        <f t="shared" si="0"/>
        <v/>
      </c>
      <c r="P22" s="46" t="str">
        <f t="shared" si="1"/>
        <v/>
      </c>
      <c r="Q22" s="48" t="str">
        <f>IF(OR(B21=B$36,B21=B$37,B21=B$38),IF(COUNTBLANK(E21:H21)&gt;0,"Alle 4 Noten eintragen!",""),"")</f>
        <v/>
      </c>
      <c r="R22" s="18" t="str">
        <f>IF(AND(COUNTBLANK(E21:H21)&lt;4,D22=""),"Fach auswählen!",IF(OR(B22=B$36,B22=B$37,B22=B$38),IF(COUNTIF(E22:H22,0)&gt;0,"0 Punkte  =&gt; nicht best.!",""),""))</f>
        <v/>
      </c>
      <c r="S22" s="49"/>
      <c r="U22" s="7"/>
      <c r="V22" s="7"/>
      <c r="W22" s="7"/>
      <c r="X22" s="7"/>
      <c r="Y22" s="7"/>
      <c r="Z22" s="7"/>
      <c r="AA22" s="7"/>
      <c r="AG22" s="7"/>
    </row>
    <row r="23" spans="1:33" s="23" customFormat="1" ht="15.95" customHeight="1" thickBot="1">
      <c r="A23" s="50" t="s">
        <v>43</v>
      </c>
      <c r="B23" s="164"/>
      <c r="C23" s="165"/>
      <c r="D23" s="74" t="str">
        <f>IF(OR(B21=W8,B21=W9,B21=W10),2,"")</f>
        <v/>
      </c>
      <c r="E23" s="168"/>
      <c r="F23" s="169"/>
      <c r="G23" s="169"/>
      <c r="H23" s="170"/>
      <c r="I23" s="76" t="str">
        <f>IF(D23="","",SUM(E23:H23))</f>
        <v/>
      </c>
      <c r="J23" s="77" t="str">
        <f t="shared" si="11"/>
        <v/>
      </c>
      <c r="K23" s="45" t="str">
        <f t="shared" si="8"/>
        <v/>
      </c>
      <c r="L23" s="45" t="str">
        <f t="shared" si="9"/>
        <v/>
      </c>
      <c r="M23" s="46">
        <v>625</v>
      </c>
      <c r="N23" s="47">
        <v>2.1</v>
      </c>
      <c r="O23" s="46" t="str">
        <f t="shared" si="0"/>
        <v/>
      </c>
      <c r="P23" s="46" t="str">
        <f t="shared" si="1"/>
        <v/>
      </c>
      <c r="Q23" s="48" t="str">
        <f>IF(OR(B21=B$36,B21=B$37,B21=B$38),IF(COUNTBLANK(E21:H21)&gt;0,"Alle 4 Noten eintragen!",""),"")</f>
        <v/>
      </c>
      <c r="R23" s="18" t="str">
        <f>IF(AND(COUNTBLANK(E21:H21)&lt;4,D23=""),"Fach auswählen!",IF(OR(B23=B$36,B23=B$37,B23=B$38),IF(COUNTIF(E23:H23,0)&gt;0,"0 Punkte  =&gt; nicht best.!",""),""))</f>
        <v/>
      </c>
      <c r="S23" s="49"/>
      <c r="T23" s="7"/>
      <c r="U23" s="7"/>
      <c r="V23" s="7"/>
      <c r="W23" s="7"/>
      <c r="X23" s="7"/>
      <c r="Y23" s="7"/>
      <c r="Z23" s="7"/>
      <c r="AA23" s="7"/>
      <c r="AG23" s="7"/>
    </row>
    <row r="24" spans="1:33" s="23" customFormat="1" ht="15.95" customHeight="1" thickBot="1">
      <c r="A24" s="50" t="s">
        <v>88</v>
      </c>
      <c r="B24" s="141" t="s">
        <v>42</v>
      </c>
      <c r="C24" s="142"/>
      <c r="D24" s="27" t="str">
        <f>IF(OR(B24=Y3,B24=Y4),2,"")</f>
        <v/>
      </c>
      <c r="E24" s="75"/>
      <c r="F24" s="67"/>
      <c r="G24" s="67"/>
      <c r="H24" s="68"/>
      <c r="I24" s="31" t="str">
        <f>IF(D24="","",SUM(E24:H24))</f>
        <v/>
      </c>
      <c r="J24" s="78" t="str">
        <f t="shared" si="11"/>
        <v/>
      </c>
      <c r="K24" s="45" t="str">
        <f t="shared" si="8"/>
        <v/>
      </c>
      <c r="L24" s="45" t="str">
        <f t="shared" si="9"/>
        <v/>
      </c>
      <c r="M24" s="46">
        <v>643</v>
      </c>
      <c r="N24" s="64">
        <v>2</v>
      </c>
      <c r="O24" s="46" t="str">
        <f t="shared" si="0"/>
        <v/>
      </c>
      <c r="P24" s="46" t="str">
        <f t="shared" si="1"/>
        <v/>
      </c>
      <c r="Q24" s="48" t="str">
        <f t="shared" si="3"/>
        <v/>
      </c>
      <c r="R24" s="18" t="str">
        <f t="shared" si="10"/>
        <v/>
      </c>
      <c r="S24" s="49"/>
      <c r="U24" s="7"/>
      <c r="V24" s="7"/>
      <c r="W24" s="7"/>
      <c r="X24" s="7"/>
      <c r="Y24" s="7"/>
      <c r="Z24" s="7"/>
      <c r="AA24" s="7"/>
    </row>
    <row r="25" spans="1:33" s="23" customFormat="1" ht="15.95" customHeight="1" thickBot="1">
      <c r="A25" s="50" t="s">
        <v>51</v>
      </c>
      <c r="B25" s="141" t="s">
        <v>42</v>
      </c>
      <c r="C25" s="142"/>
      <c r="D25" s="27" t="str">
        <f>IF(OR(B25=Z3,B25=Z4,B25=Z5),2,"")</f>
        <v/>
      </c>
      <c r="E25" s="75"/>
      <c r="F25" s="67"/>
      <c r="G25" s="67"/>
      <c r="H25" s="68"/>
      <c r="I25" s="31" t="str">
        <f t="shared" ref="I25:I28" si="12">IF(D25="","",SUM(E25:H25))</f>
        <v/>
      </c>
      <c r="J25" s="78" t="str">
        <f t="shared" si="11"/>
        <v/>
      </c>
      <c r="K25" s="45" t="str">
        <f t="shared" si="8"/>
        <v/>
      </c>
      <c r="L25" s="45" t="str">
        <f t="shared" si="9"/>
        <v/>
      </c>
      <c r="M25" s="46">
        <v>661</v>
      </c>
      <c r="N25" s="47">
        <v>1.9</v>
      </c>
      <c r="O25" s="46" t="str">
        <f t="shared" si="0"/>
        <v/>
      </c>
      <c r="P25" s="46" t="str">
        <f t="shared" si="1"/>
        <v/>
      </c>
      <c r="Q25" s="48" t="str">
        <f>IF(COUNTBLANK(E25:H25)=0,"Nur 3 Kurse einzubringen!","")</f>
        <v/>
      </c>
      <c r="R25" s="18" t="str">
        <f t="shared" si="10"/>
        <v/>
      </c>
      <c r="S25" s="49"/>
      <c r="U25" s="7"/>
      <c r="V25" s="7"/>
      <c r="W25" s="7"/>
      <c r="X25" s="7"/>
      <c r="Y25" s="7"/>
      <c r="Z25" s="7"/>
      <c r="AA25" s="7"/>
    </row>
    <row r="26" spans="1:33" s="23" customFormat="1" ht="15.95" customHeight="1" thickBot="1">
      <c r="A26" s="50" t="s">
        <v>17</v>
      </c>
      <c r="B26" s="141" t="s">
        <v>42</v>
      </c>
      <c r="C26" s="142"/>
      <c r="D26" s="27" t="str">
        <f>IF(B26=AB4,2,"")</f>
        <v/>
      </c>
      <c r="E26" s="75"/>
      <c r="F26" s="67"/>
      <c r="G26" s="67"/>
      <c r="H26" s="68"/>
      <c r="I26" s="31" t="str">
        <f t="shared" si="12"/>
        <v/>
      </c>
      <c r="J26" s="78" t="str">
        <f t="shared" si="11"/>
        <v/>
      </c>
      <c r="K26" s="45" t="str">
        <f t="shared" si="8"/>
        <v/>
      </c>
      <c r="L26" s="45" t="str">
        <f t="shared" si="9"/>
        <v/>
      </c>
      <c r="M26" s="46">
        <v>679</v>
      </c>
      <c r="N26" s="47">
        <v>1.8</v>
      </c>
      <c r="O26" s="46" t="str">
        <f t="shared" si="0"/>
        <v/>
      </c>
      <c r="P26" s="46" t="str">
        <f>O26&amp;""&amp;P27</f>
        <v/>
      </c>
      <c r="Q26" s="48" t="str">
        <f t="shared" si="3"/>
        <v/>
      </c>
      <c r="R26" s="18" t="str">
        <f t="shared" si="10"/>
        <v/>
      </c>
      <c r="S26" s="49"/>
      <c r="U26" s="7"/>
      <c r="V26" s="7"/>
      <c r="W26" s="7"/>
      <c r="X26" s="7"/>
      <c r="Y26" s="7"/>
      <c r="Z26" s="7"/>
      <c r="AA26" s="7"/>
      <c r="AG26" s="7"/>
    </row>
    <row r="27" spans="1:33" s="23" customFormat="1" ht="15.95" customHeight="1" thickBot="1">
      <c r="A27" s="50" t="s">
        <v>57</v>
      </c>
      <c r="B27" s="141" t="s">
        <v>42</v>
      </c>
      <c r="C27" s="142"/>
      <c r="D27" s="27" t="str">
        <f>IF(OR(B27=AA3,B27=AA4),2,"")</f>
        <v/>
      </c>
      <c r="E27" s="75"/>
      <c r="F27" s="67"/>
      <c r="G27" s="67"/>
      <c r="H27" s="68"/>
      <c r="I27" s="31" t="str">
        <f t="shared" si="12"/>
        <v/>
      </c>
      <c r="J27" s="78" t="str">
        <f t="shared" si="11"/>
        <v/>
      </c>
      <c r="K27" s="45" t="str">
        <f t="shared" si="8"/>
        <v/>
      </c>
      <c r="L27" s="45" t="str">
        <f t="shared" si="9"/>
        <v/>
      </c>
      <c r="M27" s="46">
        <v>697</v>
      </c>
      <c r="N27" s="47">
        <v>1.7</v>
      </c>
      <c r="O27" s="46" t="str">
        <f t="shared" si="0"/>
        <v/>
      </c>
      <c r="P27" s="46" t="str">
        <f t="shared" si="1"/>
        <v/>
      </c>
      <c r="Q27" s="48" t="str">
        <f t="shared" si="3"/>
        <v/>
      </c>
      <c r="R27" s="18" t="str">
        <f t="shared" si="10"/>
        <v/>
      </c>
      <c r="S27" s="49"/>
      <c r="T27" s="7"/>
      <c r="U27" s="7"/>
      <c r="V27" s="7"/>
      <c r="W27" s="7"/>
      <c r="X27" s="7"/>
      <c r="Y27" s="7"/>
      <c r="Z27" s="7"/>
      <c r="AA27" s="7"/>
      <c r="AG27" s="7"/>
    </row>
    <row r="28" spans="1:33" s="23" customFormat="1" ht="15.95" customHeight="1" thickBot="1">
      <c r="A28" s="50" t="s">
        <v>18</v>
      </c>
      <c r="B28" s="141" t="s">
        <v>42</v>
      </c>
      <c r="C28" s="142"/>
      <c r="D28" s="27" t="str">
        <f>IF(OR(B28=AC3),2,"")</f>
        <v/>
      </c>
      <c r="E28" s="75"/>
      <c r="F28" s="67"/>
      <c r="G28" s="67"/>
      <c r="H28" s="68"/>
      <c r="I28" s="31" t="str">
        <f t="shared" si="12"/>
        <v/>
      </c>
      <c r="J28" s="78" t="str">
        <f t="shared" si="11"/>
        <v/>
      </c>
      <c r="K28" s="45" t="str">
        <f t="shared" si="8"/>
        <v/>
      </c>
      <c r="L28" s="45" t="str">
        <f t="shared" si="9"/>
        <v/>
      </c>
      <c r="M28" s="46">
        <v>715</v>
      </c>
      <c r="N28" s="47">
        <v>1.6</v>
      </c>
      <c r="O28" s="46" t="str">
        <f t="shared" si="0"/>
        <v/>
      </c>
      <c r="P28" s="46" t="str">
        <f t="shared" si="1"/>
        <v/>
      </c>
      <c r="Q28" s="48" t="str">
        <f t="shared" si="3"/>
        <v/>
      </c>
      <c r="R28" s="18" t="str">
        <f>IF(AND(COUNTBLANK(E28:H28)&lt;4,D28=""),"Fach auswählen!",IF(OR(B28=B$36,B28=B$37,B28=B$38),IF(COUNTIF(E28:H28,0)&gt;0,"0 Punkte  =&gt; nicht best.!",""),""))</f>
        <v/>
      </c>
      <c r="S28" s="49"/>
      <c r="U28" s="7"/>
      <c r="V28" s="7"/>
      <c r="W28" s="7"/>
      <c r="X28" s="7"/>
      <c r="Y28" s="7"/>
      <c r="Z28" s="7"/>
      <c r="AA28" s="7"/>
      <c r="AG28" s="7"/>
    </row>
    <row r="29" spans="1:33" s="23" customFormat="1" ht="15.95" hidden="1" customHeight="1" thickBot="1">
      <c r="A29" s="79"/>
      <c r="B29" s="171" t="s">
        <v>42</v>
      </c>
      <c r="C29" s="172"/>
      <c r="D29" s="27" t="str">
        <f>IF(B29=AD3,2,"")</f>
        <v/>
      </c>
      <c r="E29" s="75"/>
      <c r="F29" s="67"/>
      <c r="G29" s="67"/>
      <c r="H29" s="68"/>
      <c r="I29" s="31"/>
      <c r="J29" s="78" t="str">
        <f t="shared" si="11"/>
        <v/>
      </c>
      <c r="K29" s="45"/>
      <c r="L29" s="45"/>
      <c r="M29" s="46"/>
      <c r="N29" s="47"/>
      <c r="O29" s="46"/>
      <c r="P29" s="46"/>
      <c r="Q29" s="48" t="str">
        <f t="shared" si="3"/>
        <v/>
      </c>
      <c r="R29" s="18"/>
      <c r="S29" s="49"/>
      <c r="U29" s="7"/>
      <c r="V29" s="7"/>
      <c r="W29" s="7"/>
      <c r="X29" s="7"/>
      <c r="Y29" s="7"/>
      <c r="Z29" s="7"/>
      <c r="AA29" s="7"/>
      <c r="AG29" s="80"/>
    </row>
    <row r="30" spans="1:33" s="23" customFormat="1" ht="15.95" customHeight="1" thickBot="1">
      <c r="A30" s="173" t="s">
        <v>19</v>
      </c>
      <c r="B30" s="174"/>
      <c r="C30" s="175"/>
      <c r="D30" s="81">
        <f>SUM(D4:D29)</f>
        <v>30</v>
      </c>
      <c r="E30" s="183" t="s">
        <v>63</v>
      </c>
      <c r="F30" s="184"/>
      <c r="G30" s="184"/>
      <c r="H30" s="82">
        <f>COUNT(E4:H29)-COUNTIF(E4:H29,0)</f>
        <v>0</v>
      </c>
      <c r="I30" s="176" t="str">
        <f>IF(COUNTIF(J4:J29,2)&lt;3,"Faktor 3x auf 2 setzen!",IF(COUNTIF(J4:J29,2)&gt;3,"Faktor nur 3x auf 2 setzen!",""))</f>
        <v>Faktor 3x auf 2 setzen!</v>
      </c>
      <c r="J30" s="177"/>
      <c r="K30" s="177"/>
      <c r="L30" s="83"/>
      <c r="M30" s="46">
        <v>751</v>
      </c>
      <c r="N30" s="47">
        <v>1.4</v>
      </c>
      <c r="O30" s="46" t="str">
        <f t="shared" si="0"/>
        <v/>
      </c>
      <c r="P30" s="46" t="str">
        <f t="shared" si="1"/>
        <v/>
      </c>
      <c r="Q30" s="84"/>
      <c r="R30" s="18" t="str">
        <f>IF(AND(COUNTBLANK(E15:H15)&gt;0,COUNTBLANK(E20:H20)&gt;0),"4 N. in NW-Fach eintr.!",IF(OR(COUNTIF(E15:H15,0)&gt;0,COUNTIF(E20:H20,0)&gt;0),"0 Punkte  =&gt; nicht best.!",""))</f>
        <v>4 N. in NW-Fach eintr.!</v>
      </c>
      <c r="S30" s="86"/>
      <c r="U30" s="7"/>
      <c r="V30" s="7"/>
      <c r="W30" s="7"/>
      <c r="X30" s="7"/>
      <c r="Y30" s="7"/>
      <c r="Z30" s="7"/>
      <c r="AA30" s="7"/>
    </row>
    <row r="31" spans="1:33" ht="15.95" customHeight="1">
      <c r="A31" s="87"/>
      <c r="B31" s="48" t="str">
        <f>IF(OR(B20=B15,B24=B17),"Doppelbelegung!","")</f>
        <v/>
      </c>
      <c r="C31" s="137" t="str">
        <f>IF(D30&lt;34,"zu wenig Stunden/Semester","")</f>
        <v>zu wenig Stunden/Semester</v>
      </c>
      <c r="D31" s="137"/>
      <c r="E31" s="137"/>
      <c r="F31" s="103"/>
      <c r="G31" s="179" t="str">
        <f>IF(H30&lt;32,"zu wenig Kurse!","")</f>
        <v>zu wenig Kurse!</v>
      </c>
      <c r="H31" s="179"/>
      <c r="I31" s="178"/>
      <c r="J31" s="178"/>
      <c r="K31" s="178"/>
      <c r="L31" s="89"/>
      <c r="M31" s="33">
        <v>769</v>
      </c>
      <c r="N31" s="37">
        <v>1.3</v>
      </c>
      <c r="O31" s="33" t="str">
        <f t="shared" si="0"/>
        <v/>
      </c>
      <c r="P31" s="33" t="str">
        <f t="shared" si="1"/>
        <v/>
      </c>
      <c r="Q31" s="82"/>
      <c r="R31" s="18" t="str">
        <f>IF(AND(COUNTBLANK(E10:H10)&gt;0,COUNTBLANK(E24:H24)&gt;0),"4 N. in künstl. Fach eintr.!",IF(OR(COUNTIF(E10:H10,0)&gt;0,COUNTIF(E24:H24,0)&gt;0),"0 Punkte  =&gt; nicht best.!",""))</f>
        <v>4 N. in künstl. Fach eintr.!</v>
      </c>
    </row>
    <row r="32" spans="1:33" ht="15.95" customHeight="1" thickBot="1">
      <c r="A32" s="87"/>
      <c r="B32" s="103"/>
      <c r="C32" s="48"/>
      <c r="D32" s="48"/>
      <c r="E32" s="48"/>
      <c r="F32" s="179" t="str">
        <f>IF(COUNTIF(E4:H29,"&gt;15")&gt;0,"Notenwert(e) zu hoch!",IF(COUNTIF(E4:H29,"&lt;5")&gt;(H30/5),"zu viele Unterkurse!",""))</f>
        <v/>
      </c>
      <c r="G32" s="180"/>
      <c r="H32" s="180"/>
      <c r="I32" s="91"/>
      <c r="J32" s="91"/>
      <c r="K32" s="91"/>
      <c r="L32" s="89"/>
      <c r="M32" s="33">
        <v>787</v>
      </c>
      <c r="N32" s="37">
        <v>1.2</v>
      </c>
      <c r="O32" s="33" t="str">
        <f t="shared" si="0"/>
        <v/>
      </c>
      <c r="P32" s="33" t="str">
        <f t="shared" si="1"/>
        <v/>
      </c>
      <c r="Q32" s="137"/>
      <c r="R32" s="138"/>
    </row>
    <row r="33" spans="1:18" ht="15.95" customHeight="1" thickBot="1">
      <c r="A33" s="1" t="s">
        <v>67</v>
      </c>
      <c r="B33" s="92"/>
      <c r="C33" s="92"/>
      <c r="D33" s="92"/>
      <c r="E33" s="103"/>
      <c r="F33" s="103"/>
      <c r="G33" s="103"/>
      <c r="H33" s="103"/>
      <c r="I33" s="89"/>
      <c r="J33" s="89"/>
      <c r="K33" s="89"/>
      <c r="L33" s="89"/>
      <c r="M33" s="33">
        <v>805</v>
      </c>
      <c r="N33" s="37">
        <v>1.1000000000000001</v>
      </c>
      <c r="O33" s="33" t="str">
        <f>IF(P34&lt;&gt;"","",IF($F$38&gt;=M33,N33,""))</f>
        <v/>
      </c>
      <c r="P33" s="33" t="str">
        <f>O33&amp;""&amp;P34</f>
        <v/>
      </c>
      <c r="Q33" s="82"/>
      <c r="R33" s="90"/>
    </row>
    <row r="34" spans="1:18" ht="15.95" customHeight="1" thickBot="1">
      <c r="A34" s="93"/>
      <c r="B34" s="92"/>
      <c r="C34" s="94" t="s">
        <v>4</v>
      </c>
      <c r="D34" s="94" t="s">
        <v>73</v>
      </c>
      <c r="E34" s="103"/>
      <c r="F34" s="181" t="s">
        <v>74</v>
      </c>
      <c r="G34" s="182"/>
      <c r="H34" s="103"/>
      <c r="I34" s="181" t="s">
        <v>76</v>
      </c>
      <c r="J34" s="182"/>
      <c r="K34" s="89"/>
      <c r="L34" s="89"/>
      <c r="M34" s="33">
        <v>823</v>
      </c>
      <c r="N34" s="34">
        <v>1</v>
      </c>
      <c r="O34" s="33" t="str">
        <f>IF($F$38&gt;=M34,N34,"")</f>
        <v/>
      </c>
      <c r="P34" s="33" t="str">
        <f>O34</f>
        <v/>
      </c>
      <c r="Q34" s="82"/>
      <c r="R34" s="90"/>
    </row>
    <row r="35" spans="1:18" ht="15.95" customHeight="1" thickBot="1">
      <c r="A35" s="93" t="s">
        <v>68</v>
      </c>
      <c r="B35" s="95" t="s">
        <v>72</v>
      </c>
      <c r="C35" s="96" t="s">
        <v>64</v>
      </c>
      <c r="D35" s="97"/>
      <c r="E35" s="103"/>
      <c r="F35" s="185">
        <f>5*SUM(D35:D38)</f>
        <v>0</v>
      </c>
      <c r="G35" s="186"/>
      <c r="H35" s="103"/>
      <c r="I35" s="185" t="str">
        <f>IF(SUM(K4:K29)=0,"0",ROUND(SUM(K4:K29)/SUM(L4:L29)*40,0))</f>
        <v>0</v>
      </c>
      <c r="J35" s="186"/>
      <c r="K35" s="89"/>
      <c r="L35" s="89"/>
      <c r="M35" s="33"/>
      <c r="N35" s="98"/>
      <c r="O35" s="33"/>
      <c r="P35" s="33" t="str">
        <f>P34&amp;""&amp;O35</f>
        <v/>
      </c>
      <c r="Q35" s="82"/>
      <c r="R35" s="18"/>
    </row>
    <row r="36" spans="1:18" ht="15.95" customHeight="1" thickBot="1">
      <c r="A36" s="93" t="s">
        <v>69</v>
      </c>
      <c r="B36" s="99"/>
      <c r="C36" s="96" t="s">
        <v>64</v>
      </c>
      <c r="D36" s="97"/>
      <c r="E36" s="103"/>
      <c r="F36" s="191" t="str">
        <f>IF(F35&lt;100,"nicht best. (&lt;100P.)","")</f>
        <v>nicht best. (&lt;100P.)</v>
      </c>
      <c r="G36" s="191"/>
      <c r="H36" s="103"/>
      <c r="I36" s="191" t="str">
        <f>IF(I35&lt;200,"nicht best. (&lt;200P.)","")</f>
        <v/>
      </c>
      <c r="J36" s="191"/>
      <c r="K36" s="89"/>
      <c r="L36" s="89"/>
      <c r="M36" s="33"/>
      <c r="N36" s="98"/>
      <c r="O36" s="33"/>
      <c r="P36" s="33"/>
      <c r="Q36" s="82"/>
      <c r="R36" s="18"/>
    </row>
    <row r="37" spans="1:18" ht="15.95" customHeight="1" thickBot="1">
      <c r="A37" s="93" t="s">
        <v>70</v>
      </c>
      <c r="B37" s="99"/>
      <c r="C37" s="100" t="s">
        <v>66</v>
      </c>
      <c r="D37" s="97"/>
      <c r="E37" s="103"/>
      <c r="F37" s="181" t="s">
        <v>78</v>
      </c>
      <c r="G37" s="182"/>
      <c r="H37" s="103"/>
      <c r="I37" s="192" t="s">
        <v>79</v>
      </c>
      <c r="J37" s="193"/>
      <c r="K37" s="89"/>
      <c r="L37" s="89"/>
      <c r="M37" s="89"/>
      <c r="N37" s="89"/>
      <c r="O37" s="89"/>
      <c r="P37" s="89"/>
      <c r="Q37" s="82"/>
      <c r="R37" s="18"/>
    </row>
    <row r="38" spans="1:18" ht="15.95" customHeight="1" thickBot="1">
      <c r="A38" s="93" t="s">
        <v>71</v>
      </c>
      <c r="B38" s="99"/>
      <c r="C38" s="100" t="s">
        <v>66</v>
      </c>
      <c r="D38" s="97"/>
      <c r="E38" s="103"/>
      <c r="F38" s="185">
        <f>F35+I35</f>
        <v>0</v>
      </c>
      <c r="G38" s="186"/>
      <c r="H38" s="103"/>
      <c r="I38" s="194" t="str">
        <f>IF(AND(A39="",A40="",A41="",A42="",A43="",B39="",B40="",B41="",B42="",B43="",C39="",C40="",F36="",I36="",G31="",I30="",Q3="",Q4="",Q5="",Q6="",Q7="",Q8="",Q9="",Q10="",Q11="",Q12="",Q13="",Q14="",Q15="",Q16="",Q17="",Q18="",Q19="",Q20="",Q21="",Q22="",Q23="",Q24="",Q25="",Q26="",Q27="",Q28="",Q30="",Q32="",R3="",R4="",R5="",R8="",R9="",R10="",R11="",R12="",R13="",R14="",R15="",R16="",R17="",R18="",R19="",R20="",R21="",R22="",R23="",R24="",R25="",R26="",R27="",R28="",R30="",R31=""),P4,"Fehler vorhanden")</f>
        <v>Fehler vorhanden</v>
      </c>
      <c r="J38" s="195"/>
      <c r="K38" s="89"/>
      <c r="L38" s="89"/>
      <c r="M38" s="89"/>
      <c r="N38" s="89"/>
      <c r="O38" s="89"/>
      <c r="P38" s="89"/>
      <c r="Q38" s="82"/>
      <c r="R38" s="18" t="str">
        <f>IF(COUNTIF(C35:C37,"EN")&lt;2,"mind. 2x EN wählen!","")</f>
        <v/>
      </c>
    </row>
    <row r="39" spans="1:18" ht="15.95" customHeight="1">
      <c r="A39" s="93"/>
      <c r="B39" s="102" t="str">
        <f>IF(COUNTIF(B35:B38,"Deutsch")+COUNTIF(B35:B38,"Mathematik")+COUNTIF(B35:B38,"Englisch")+COUNTIF(B35:B38,"Spanisch")+COUNTIF(B35:B38,"Französisch")+COUNTIF(B35:B38,"Latein")&lt;2,"2 Kernfächer wählen!",IF(OR(B35=B36,B35=B37,B35=B38,B36=B37,B36=B38,B37=B38),"versch. Fächer wählen!",""))</f>
        <v>2 Kernfächer wählen!</v>
      </c>
      <c r="C39" s="187" t="str">
        <f>IF(COUNTIF(D35:D38,"&lt;5")&gt;2,"nicht best. (3-4mal &lt; 5 P.)","")</f>
        <v/>
      </c>
      <c r="D39" s="188"/>
      <c r="E39" s="188"/>
      <c r="F39" s="189"/>
      <c r="G39" s="189"/>
      <c r="H39" s="103"/>
      <c r="I39" s="89"/>
      <c r="J39" s="89"/>
      <c r="K39" s="89"/>
      <c r="L39" s="89"/>
      <c r="M39" s="89"/>
      <c r="N39" s="89"/>
      <c r="O39" s="89"/>
      <c r="P39" s="89"/>
      <c r="Q39" s="82"/>
      <c r="R39" s="90"/>
    </row>
    <row r="40" spans="1:18" ht="15.95" customHeight="1">
      <c r="A40" s="104" t="str">
        <f>IF(COUNTIF(B$4:B$29,B35)=1,"","1. Prüfungsfach in Block 1 nicht belegt!")</f>
        <v>1. Prüfungsfach in Block 1 nicht belegt!</v>
      </c>
      <c r="B40" s="105" t="str">
        <f>IF(COUNTIF(B35:B38,"Deutsch")+COUNTIF(B35:B38,"Englisch")+COUNTIF(B35:B38,"Spanisch")+COUNTIF(B35:B38,"Französisch")+COUNTIF(B35:B38,"Latein")+COUNTIF(B35:B38,"Kunst")+COUNTIF(B35:B38,"Musik")+COUNTIF(B35:B38,DSP)=0,"1. Aufgabenfeld fehlt!","")</f>
        <v>1. Aufgabenfeld fehlt!</v>
      </c>
      <c r="C40" s="187" t="str">
        <f>IF(OR(D35&gt;45,D36&gt;4),"",IF(AND(C37="EN",D37&gt;4),"",IF(AND(C38="EN",D38&gt;4),"","nicht bestanden (EN &lt; 5 P.)")))</f>
        <v>nicht bestanden (EN &lt; 5 P.)</v>
      </c>
      <c r="D40" s="190"/>
      <c r="E40" s="190"/>
      <c r="F40" s="103"/>
      <c r="G40" s="103"/>
      <c r="H40" s="103"/>
      <c r="I40" s="89"/>
      <c r="J40" s="89"/>
      <c r="K40" s="89"/>
      <c r="L40" s="89"/>
      <c r="M40" s="89"/>
      <c r="N40" s="89"/>
      <c r="O40" s="89"/>
      <c r="P40" s="89"/>
      <c r="Q40" s="82"/>
      <c r="R40" s="90"/>
    </row>
    <row r="41" spans="1:18" ht="15.95" customHeight="1">
      <c r="A41" s="104" t="str">
        <f>IF(COUNTIF(B$4:B$29,B36)=1,"","2. Prüfungsfach in Block 1 nicht belegt!")</f>
        <v>2. Prüfungsfach in Block 1 nicht belegt!</v>
      </c>
      <c r="B41" s="105" t="str">
        <f>IF(COUNTIF(B35:B38,"PGW")+COUNTIF(B35:B38,"Geschichte")+COUNTIF(B35:B38,"Geographie")+COUNTIF(B35:B38,"Religion")+COUNTIF(B35:B38,"Philosophie")+COUNTIF(B35:B38,"Pädagogik")+COUNTIF(B35:B38,"Psychologie")=0,"2. Aufgabenfeld fehlt!","")</f>
        <v>2. Aufgabenfeld fehlt!</v>
      </c>
      <c r="C41" s="106"/>
      <c r="D41" s="106"/>
      <c r="E41" s="106"/>
      <c r="F41" s="103"/>
      <c r="G41" s="103"/>
      <c r="H41" s="103"/>
      <c r="I41" s="89"/>
      <c r="J41" s="89"/>
      <c r="K41" s="89"/>
      <c r="L41" s="89"/>
      <c r="M41" s="89"/>
      <c r="N41" s="89"/>
      <c r="O41" s="89"/>
      <c r="P41" s="89"/>
      <c r="Q41" s="82"/>
      <c r="R41" s="90"/>
    </row>
    <row r="42" spans="1:18" ht="15.95" customHeight="1">
      <c r="A42" s="104" t="str">
        <f>IF(COUNTIF(B$4:B$29,B37)=1,"","3. Prüfungsfach in Block 1 nicht belegt!")</f>
        <v>3. Prüfungsfach in Block 1 nicht belegt!</v>
      </c>
      <c r="B42" s="105" t="str">
        <f>IF(COUNTIF(B35:B38,"Mathematik")+COUNTIF(B35:B38,"Biologie")+COUNTIF(B35:B38,"Chemie")+COUNTIF(B35:B38,"Physik")+COUNTIF(B35:B38,"Informatik")=0,"3. Aufgabenfeld fehlt!","")</f>
        <v>3. Aufgabenfeld fehlt!</v>
      </c>
      <c r="C42" s="92"/>
      <c r="D42" s="92"/>
      <c r="E42" s="103"/>
      <c r="F42" s="103"/>
      <c r="G42" s="103"/>
      <c r="H42" s="103"/>
      <c r="I42" s="89"/>
      <c r="J42" s="89"/>
      <c r="K42" s="89"/>
      <c r="L42" s="89"/>
      <c r="M42" s="89"/>
      <c r="N42" s="89"/>
      <c r="O42" s="89"/>
      <c r="P42" s="89"/>
      <c r="Q42" s="82"/>
      <c r="R42" s="90"/>
    </row>
    <row r="43" spans="1:18" ht="15.95" customHeight="1" thickBot="1">
      <c r="A43" s="107" t="str">
        <f>IF(COUNTIF(B$4:B$29,B38)=1,"","4. Prüfungsfach in Block 1 nicht belegt!")</f>
        <v>4. Prüfungsfach in Block 1 nicht belegt!</v>
      </c>
      <c r="B43" s="108" t="str">
        <f>IF(COUNTIF(B35:B38,B8)=0,"profilgeb. Fach fehlt!","")</f>
        <v>profilgeb. Fach fehlt!</v>
      </c>
      <c r="C43" s="109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1"/>
      <c r="R43" s="112"/>
    </row>
  </sheetData>
  <mergeCells count="50">
    <mergeCell ref="A4:A6"/>
    <mergeCell ref="B7:C7"/>
    <mergeCell ref="Q7:R7"/>
    <mergeCell ref="B9:C9"/>
    <mergeCell ref="B10:C10"/>
    <mergeCell ref="B20:C20"/>
    <mergeCell ref="B21:C23"/>
    <mergeCell ref="B14:C14"/>
    <mergeCell ref="C1:I1"/>
    <mergeCell ref="Q2:R2"/>
    <mergeCell ref="O3:P3"/>
    <mergeCell ref="B11:C11"/>
    <mergeCell ref="B12:C12"/>
    <mergeCell ref="B13:C13"/>
    <mergeCell ref="Q12:R12"/>
    <mergeCell ref="B15:C15"/>
    <mergeCell ref="B16:C16"/>
    <mergeCell ref="B17:C17"/>
    <mergeCell ref="B18:C18"/>
    <mergeCell ref="B19:C19"/>
    <mergeCell ref="E21:E23"/>
    <mergeCell ref="F21:F23"/>
    <mergeCell ref="G21:G23"/>
    <mergeCell ref="H21:H23"/>
    <mergeCell ref="B25:C25"/>
    <mergeCell ref="B24:C24"/>
    <mergeCell ref="B26:C26"/>
    <mergeCell ref="B27:C27"/>
    <mergeCell ref="B28:C28"/>
    <mergeCell ref="B29:C29"/>
    <mergeCell ref="F37:G37"/>
    <mergeCell ref="I37:J37"/>
    <mergeCell ref="E30:G30"/>
    <mergeCell ref="I30:K31"/>
    <mergeCell ref="C31:E31"/>
    <mergeCell ref="G31:H31"/>
    <mergeCell ref="F32:H32"/>
    <mergeCell ref="F34:G34"/>
    <mergeCell ref="I34:J34"/>
    <mergeCell ref="A30:C30"/>
    <mergeCell ref="Q32:R32"/>
    <mergeCell ref="F35:G35"/>
    <mergeCell ref="I35:J35"/>
    <mergeCell ref="F36:G36"/>
    <mergeCell ref="I36:J36"/>
    <mergeCell ref="F38:G38"/>
    <mergeCell ref="I38:J38"/>
    <mergeCell ref="C39:E39"/>
    <mergeCell ref="F39:G39"/>
    <mergeCell ref="C40:E40"/>
  </mergeCells>
  <dataValidations count="18">
    <dataValidation type="list" showInputMessage="1" showErrorMessage="1" sqref="B5">
      <formula1>T3:T6</formula1>
    </dataValidation>
    <dataValidation type="list" showInputMessage="1" showErrorMessage="1" sqref="B36:B38">
      <formula1>$AG$3:$AG$21</formula1>
    </dataValidation>
    <dataValidation type="list" showInputMessage="1" showErrorMessage="1" sqref="J15 J4:J6 J20:J21">
      <formula1>$AF$3:$AF$4</formula1>
    </dataValidation>
    <dataValidation type="list" showInputMessage="1" showErrorMessage="1" sqref="C4:C6">
      <formula1>$AE$3:$AE$4</formula1>
    </dataValidation>
    <dataValidation type="list" showInputMessage="1" showErrorMessage="1" sqref="B35">
      <formula1>$T$9:$T$14</formula1>
    </dataValidation>
    <dataValidation type="list" allowBlank="1" showInputMessage="1" showErrorMessage="1" sqref="B24:C24">
      <formula1>$Y$3:$Y$5</formula1>
    </dataValidation>
    <dataValidation type="list" allowBlank="1" showInputMessage="1" showErrorMessage="1" sqref="B21:B23">
      <formula1>$W$3:$W$11</formula1>
    </dataValidation>
    <dataValidation type="list" allowBlank="1" showInputMessage="1" showErrorMessage="1" sqref="B26:C26">
      <formula1>$AB$4:$AB$5</formula1>
    </dataValidation>
    <dataValidation type="list" allowBlank="1" showInputMessage="1" showErrorMessage="1" sqref="B27:C27">
      <formula1>$AA$3:$AA$5</formula1>
    </dataValidation>
    <dataValidation type="list" allowBlank="1" showInputMessage="1" showErrorMessage="1" sqref="B28:C28">
      <formula1>$AC$3:$AC$4</formula1>
    </dataValidation>
    <dataValidation type="list" allowBlank="1" showInputMessage="1" showErrorMessage="1" sqref="B25:C25">
      <formula1>$Z$3:$Z$6</formula1>
    </dataValidation>
    <dataValidation type="list" allowBlank="1" showInputMessage="1" showErrorMessage="1" sqref="B20:C20">
      <formula1>$V$3:$V$6</formula1>
    </dataValidation>
    <dataValidation type="list" showInputMessage="1" showErrorMessage="1" sqref="B16:C16">
      <formula1>$U$3:$U$4</formula1>
    </dataValidation>
    <dataValidation type="list" showInputMessage="1" showErrorMessage="1" sqref="B15:C15">
      <formula1>$V$3:$V$5</formula1>
    </dataValidation>
    <dataValidation type="list" allowBlank="1" showInputMessage="1" showErrorMessage="1" sqref="B29:C29">
      <formula1>$AD$3:$AD$5</formula1>
    </dataValidation>
    <dataValidation type="list" showInputMessage="1" showErrorMessage="1" sqref="B17:C17">
      <formula1>$Y$3:$Y$4</formula1>
    </dataValidation>
    <dataValidation type="list" showInputMessage="1" showErrorMessage="1" sqref="B14:C14">
      <formula1>$AB$3:$AB$4</formula1>
    </dataValidation>
    <dataValidation type="list" allowBlank="1" showInputMessage="1" showErrorMessage="1" sqref="C37:C38">
      <formula1>$AE$3:$AE$4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G43"/>
  <sheetViews>
    <sheetView workbookViewId="0"/>
  </sheetViews>
  <sheetFormatPr baseColWidth="10" defaultRowHeight="15.95" customHeight="1"/>
  <cols>
    <col min="1" max="1" width="47.140625" style="8" customWidth="1"/>
    <col min="2" max="2" width="20.5703125" style="8" customWidth="1"/>
    <col min="3" max="10" width="8.7109375" style="8" customWidth="1"/>
    <col min="11" max="16" width="8.7109375" style="8" hidden="1" customWidth="1"/>
    <col min="17" max="17" width="23" style="6" customWidth="1"/>
    <col min="18" max="18" width="21.42578125" style="6" customWidth="1"/>
    <col min="19" max="19" width="16" style="6" hidden="1" customWidth="1"/>
    <col min="20" max="21" width="10.42578125" style="7" hidden="1" customWidth="1"/>
    <col min="22" max="22" width="8.5703125" style="7" hidden="1" customWidth="1"/>
    <col min="23" max="23" width="12.140625" style="7" hidden="1" customWidth="1"/>
    <col min="24" max="24" width="11.42578125" style="7" hidden="1" customWidth="1"/>
    <col min="25" max="25" width="7.28515625" style="7" hidden="1" customWidth="1"/>
    <col min="26" max="26" width="9.28515625" style="7" hidden="1" customWidth="1"/>
    <col min="27" max="27" width="19.28515625" style="7" hidden="1" customWidth="1"/>
    <col min="28" max="30" width="11.42578125" style="8" hidden="1" customWidth="1"/>
    <col min="31" max="31" width="3.85546875" style="8" hidden="1" customWidth="1"/>
    <col min="32" max="32" width="3.42578125" style="8" hidden="1" customWidth="1"/>
    <col min="33" max="33" width="11.42578125" style="8" hidden="1" customWidth="1"/>
    <col min="34" max="16384" width="11.42578125" style="8"/>
  </cols>
  <sheetData>
    <row r="1" spans="1:33" ht="15.95" customHeight="1" thickBot="1">
      <c r="A1" s="1" t="s">
        <v>82</v>
      </c>
      <c r="B1" s="3"/>
      <c r="C1" s="139" t="s">
        <v>87</v>
      </c>
      <c r="D1" s="139"/>
      <c r="E1" s="139"/>
      <c r="F1" s="139"/>
      <c r="G1" s="139"/>
      <c r="H1" s="139"/>
      <c r="I1" s="140"/>
      <c r="J1" s="3"/>
      <c r="K1" s="3"/>
      <c r="L1" s="3"/>
      <c r="M1" s="3"/>
      <c r="N1" s="3"/>
      <c r="O1" s="3"/>
      <c r="P1" s="3"/>
      <c r="Q1" s="4"/>
      <c r="R1" s="5"/>
    </row>
    <row r="2" spans="1:33" ht="15.95" customHeight="1" thickBot="1">
      <c r="A2" s="9"/>
      <c r="B2" s="10"/>
      <c r="C2" s="10"/>
      <c r="D2" s="10"/>
      <c r="E2" s="10"/>
      <c r="F2" s="10"/>
      <c r="G2" s="10"/>
      <c r="H2" s="10"/>
      <c r="Q2" s="143" t="str">
        <f>IF(I38="Fehler vorhanden","Fehlermeldungen","")</f>
        <v>Fehlermeldungen</v>
      </c>
      <c r="R2" s="144"/>
    </row>
    <row r="3" spans="1:33" s="23" customFormat="1" ht="15.95" customHeight="1" thickBot="1">
      <c r="A3" s="11" t="s">
        <v>3</v>
      </c>
      <c r="B3" s="39"/>
      <c r="C3" s="11" t="s">
        <v>4</v>
      </c>
      <c r="D3" s="13" t="s">
        <v>5</v>
      </c>
      <c r="E3" s="14" t="s">
        <v>59</v>
      </c>
      <c r="F3" s="11" t="s">
        <v>60</v>
      </c>
      <c r="G3" s="11" t="s">
        <v>61</v>
      </c>
      <c r="H3" s="135" t="s">
        <v>61</v>
      </c>
      <c r="I3" s="14" t="s">
        <v>0</v>
      </c>
      <c r="J3" s="11" t="s">
        <v>62</v>
      </c>
      <c r="K3" s="15" t="s">
        <v>75</v>
      </c>
      <c r="L3" s="15" t="s">
        <v>77</v>
      </c>
      <c r="M3" s="16" t="s">
        <v>1</v>
      </c>
      <c r="N3" s="16" t="s">
        <v>2</v>
      </c>
      <c r="O3" s="145" t="s">
        <v>80</v>
      </c>
      <c r="P3" s="145"/>
      <c r="Q3" s="48"/>
      <c r="R3" s="18" t="str">
        <f>IF(COUNTIF(C4:C6,"EN")&lt;2,"mind. 2x EN wählen!","")</f>
        <v>mind. 2x EN wählen!</v>
      </c>
      <c r="S3" s="19" t="s">
        <v>83</v>
      </c>
      <c r="T3" s="20" t="s">
        <v>20</v>
      </c>
      <c r="U3" s="7" t="s">
        <v>23</v>
      </c>
      <c r="V3" s="7" t="s">
        <v>25</v>
      </c>
      <c r="W3" s="20" t="s">
        <v>20</v>
      </c>
      <c r="X3" s="7" t="s">
        <v>30</v>
      </c>
      <c r="Y3" s="7" t="s">
        <v>33</v>
      </c>
      <c r="Z3" s="7" t="s">
        <v>35</v>
      </c>
      <c r="AA3" s="7" t="s">
        <v>32</v>
      </c>
      <c r="AB3" s="21" t="s">
        <v>9</v>
      </c>
      <c r="AC3" s="7" t="s">
        <v>39</v>
      </c>
      <c r="AD3" s="22" t="s">
        <v>9</v>
      </c>
      <c r="AE3" s="7" t="s">
        <v>64</v>
      </c>
      <c r="AF3" s="23">
        <v>1</v>
      </c>
      <c r="AG3" s="24" t="s">
        <v>6</v>
      </c>
    </row>
    <row r="4" spans="1:33" s="23" customFormat="1" ht="15.95" customHeight="1" thickBot="1">
      <c r="A4" s="156" t="s">
        <v>81</v>
      </c>
      <c r="B4" s="25" t="s">
        <v>6</v>
      </c>
      <c r="C4" s="26" t="s">
        <v>66</v>
      </c>
      <c r="D4" s="27">
        <v>4</v>
      </c>
      <c r="E4" s="75"/>
      <c r="F4" s="67"/>
      <c r="G4" s="67"/>
      <c r="H4" s="68"/>
      <c r="I4" s="31">
        <f>SUM(E4:H4)</f>
        <v>0</v>
      </c>
      <c r="J4" s="67">
        <f>IF(AND(C4="EN",OR(B4=B$35,B4=B$36,B4=B$37)),2,1)</f>
        <v>1</v>
      </c>
      <c r="K4" s="32">
        <f>IF(OR(J4=1,J4=2),I4*J4,"")</f>
        <v>0</v>
      </c>
      <c r="L4" s="32">
        <f>COUNT(E4:H4)*J4</f>
        <v>0</v>
      </c>
      <c r="M4" s="33">
        <v>300</v>
      </c>
      <c r="N4" s="34">
        <v>4</v>
      </c>
      <c r="O4" s="33" t="str">
        <f t="shared" ref="O4:O32" si="0">IF(P5&lt;&gt;"","",IF($F$38&gt;=M4,N4,""))</f>
        <v/>
      </c>
      <c r="P4" s="33" t="str">
        <f t="shared" ref="P4:P32" si="1">O4&amp;""&amp;P5</f>
        <v/>
      </c>
      <c r="Q4" s="48" t="str">
        <f>IF(COUNTBLANK(E4:H4)&gt;0,"Alle 4 Noten eintragen!",IF(COUNTIF(E4:H4,0)&gt;0,"0 Punkte  =&gt; nicht best.!",""))</f>
        <v>Alle 4 Noten eintragen!</v>
      </c>
      <c r="R4" s="18" t="str">
        <f>IF(C4="Niveau?","Niveau wählen!","")</f>
        <v>Niveau wählen!</v>
      </c>
      <c r="S4" s="35" t="str">
        <f>IF(J4=2,IF(AND(OR(B4=B$35,B4=B$36,B4=B$37),C4="EN"),"ja","nein"),"")</f>
        <v/>
      </c>
      <c r="T4" s="7" t="s">
        <v>21</v>
      </c>
      <c r="U4" s="7" t="s">
        <v>24</v>
      </c>
      <c r="V4" s="7" t="s">
        <v>26</v>
      </c>
      <c r="W4" s="7" t="s">
        <v>21</v>
      </c>
      <c r="X4" s="7" t="s">
        <v>31</v>
      </c>
      <c r="Y4" s="7" t="s">
        <v>34</v>
      </c>
      <c r="Z4" s="7" t="s">
        <v>36</v>
      </c>
      <c r="AA4" s="7" t="s">
        <v>38</v>
      </c>
      <c r="AB4" s="7" t="s">
        <v>41</v>
      </c>
      <c r="AC4" s="7" t="s">
        <v>42</v>
      </c>
      <c r="AD4" s="22" t="s">
        <v>11</v>
      </c>
      <c r="AE4" s="7" t="s">
        <v>65</v>
      </c>
      <c r="AF4" s="23">
        <v>2</v>
      </c>
      <c r="AG4" s="7" t="s">
        <v>7</v>
      </c>
    </row>
    <row r="5" spans="1:33" s="23" customFormat="1" ht="15.95" customHeight="1" thickBot="1">
      <c r="A5" s="157"/>
      <c r="B5" s="62" t="s">
        <v>84</v>
      </c>
      <c r="C5" s="26" t="s">
        <v>66</v>
      </c>
      <c r="D5" s="27">
        <v>4</v>
      </c>
      <c r="E5" s="75"/>
      <c r="F5" s="67"/>
      <c r="G5" s="67"/>
      <c r="H5" s="68"/>
      <c r="I5" s="31">
        <f>SUM(E5:H5)</f>
        <v>0</v>
      </c>
      <c r="J5" s="67">
        <f>IF(AND(C5="EN",OR(B5=B$35,B5=B$36,B5=B$37)),2,1)</f>
        <v>1</v>
      </c>
      <c r="K5" s="32">
        <f>IF(OR(J5=1,J5=2),I5*J5,"")</f>
        <v>0</v>
      </c>
      <c r="L5" s="32">
        <f>COUNT(E5:H5)*J5</f>
        <v>0</v>
      </c>
      <c r="M5" s="33">
        <v>301</v>
      </c>
      <c r="N5" s="37">
        <v>3.9</v>
      </c>
      <c r="O5" s="33" t="str">
        <f t="shared" si="0"/>
        <v/>
      </c>
      <c r="P5" s="33" t="str">
        <f t="shared" si="1"/>
        <v/>
      </c>
      <c r="Q5" s="48" t="str">
        <f>IF(COUNTBLANK(E5:H5)&gt;0,"Alle 4 Noten eintragen!",IF(COUNTIF(E5:H5,0)&gt;0,"0 Punkte  =&gt; nicht best.!",""))</f>
        <v>Alle 4 Noten eintragen!</v>
      </c>
      <c r="R5" s="18" t="str">
        <f>IF(C5="Niveau?","Niveau wählen!","")</f>
        <v>Niveau wählen!</v>
      </c>
      <c r="S5" s="35" t="str">
        <f t="shared" ref="S5:S6" si="2">IF(J5=2,IF(AND(OR(B5=B$35,B5=B$36,B5=B$37),C5="EN"),"ja","nein"),"")</f>
        <v/>
      </c>
      <c r="T5" s="24" t="s">
        <v>28</v>
      </c>
      <c r="U5" s="7"/>
      <c r="V5" s="7" t="s">
        <v>27</v>
      </c>
      <c r="W5" s="24" t="s">
        <v>28</v>
      </c>
      <c r="X5" s="7" t="s">
        <v>32</v>
      </c>
      <c r="Y5" s="7" t="s">
        <v>42</v>
      </c>
      <c r="Z5" s="7" t="s">
        <v>37</v>
      </c>
      <c r="AA5" s="7" t="s">
        <v>42</v>
      </c>
      <c r="AB5" s="7" t="s">
        <v>42</v>
      </c>
      <c r="AD5" s="22" t="s">
        <v>42</v>
      </c>
      <c r="AG5" s="20" t="s">
        <v>20</v>
      </c>
    </row>
    <row r="6" spans="1:33" s="23" customFormat="1" ht="15.95" customHeight="1" thickBot="1">
      <c r="A6" s="158"/>
      <c r="B6" s="25" t="s">
        <v>7</v>
      </c>
      <c r="C6" s="26" t="s">
        <v>66</v>
      </c>
      <c r="D6" s="27">
        <v>4</v>
      </c>
      <c r="E6" s="75"/>
      <c r="F6" s="67"/>
      <c r="G6" s="67"/>
      <c r="H6" s="68"/>
      <c r="I6" s="31">
        <f>SUM(E6:H6)</f>
        <v>0</v>
      </c>
      <c r="J6" s="67">
        <f>IF(AND(C6="EN",OR(B6=B$35,B6=B$36,B6=B$37)),2,1)</f>
        <v>1</v>
      </c>
      <c r="K6" s="32">
        <f>IF(OR(J6=1,J6=2),I6*J6,"")</f>
        <v>0</v>
      </c>
      <c r="L6" s="32">
        <f>COUNT(E6:H6)*J6</f>
        <v>0</v>
      </c>
      <c r="M6" s="33">
        <v>319</v>
      </c>
      <c r="N6" s="37">
        <v>3.8</v>
      </c>
      <c r="O6" s="33" t="str">
        <f t="shared" si="0"/>
        <v/>
      </c>
      <c r="P6" s="33" t="str">
        <f t="shared" si="1"/>
        <v/>
      </c>
      <c r="Q6" s="48" t="str">
        <f>IF(COUNTBLANK(E6:H6)&gt;0,"Alle 4 Noten eintragen!",IF(COUNTIF(E6:H6,0)&gt;0,"0 Punkte  =&gt; nicht best.!",""))</f>
        <v>Alle 4 Noten eintragen!</v>
      </c>
      <c r="R6" s="18" t="str">
        <f>IF(C6="Niveau?","Niveau wählen!","")</f>
        <v>Niveau wählen!</v>
      </c>
      <c r="S6" s="35" t="str">
        <f t="shared" si="2"/>
        <v/>
      </c>
      <c r="T6" s="7" t="s">
        <v>22</v>
      </c>
      <c r="U6" s="7"/>
      <c r="V6" s="7" t="s">
        <v>42</v>
      </c>
      <c r="W6" s="7" t="s">
        <v>22</v>
      </c>
      <c r="X6" s="7" t="s">
        <v>42</v>
      </c>
      <c r="Z6" s="7" t="s">
        <v>42</v>
      </c>
      <c r="AA6" s="7"/>
      <c r="AG6" s="7" t="s">
        <v>21</v>
      </c>
    </row>
    <row r="7" spans="1:33" s="23" customFormat="1" ht="15.95" customHeight="1" thickBot="1">
      <c r="A7" s="38" t="s">
        <v>8</v>
      </c>
      <c r="B7" s="148"/>
      <c r="C7" s="149"/>
      <c r="D7" s="40"/>
      <c r="E7" s="41"/>
      <c r="F7" s="42"/>
      <c r="G7" s="42"/>
      <c r="H7" s="43"/>
      <c r="I7" s="44"/>
      <c r="J7" s="42"/>
      <c r="K7" s="45"/>
      <c r="L7" s="45"/>
      <c r="M7" s="46">
        <v>337</v>
      </c>
      <c r="N7" s="47">
        <v>3.7</v>
      </c>
      <c r="O7" s="46" t="str">
        <f t="shared" si="0"/>
        <v/>
      </c>
      <c r="P7" s="46" t="str">
        <f t="shared" si="1"/>
        <v/>
      </c>
      <c r="Q7" s="137" t="str">
        <f>IF(COUNTIF(J4:J6,2)=0,"Faktor e. EN-Kern- u. schr. Pr.fachs muss 2 sein!",IF(AND(COUNTIF(J4:J6,2)=1,S7=1),"Faktor e. EN-Kern u. schr. Pr.fachs muss 2 sein!",IF(AND(COUNTIF(J4:J6,2)=2,S7=2),"Faktor e. EN-Kern u. schr. Pr.fachs muss 2 sein!",IF(AND(COUNTIF(J4:J6,2)=3,S7=3),"Faktor e. EN-Kern u. schr. Pr.fachs muss 2 sein!",""))))</f>
        <v>Faktor e. EN-Kern- u. schr. Pr.fachs muss 2 sein!</v>
      </c>
      <c r="R7" s="159"/>
      <c r="S7" s="49">
        <f>COUNTIF(S4:S6,"nein")</f>
        <v>0</v>
      </c>
      <c r="T7" s="24"/>
      <c r="U7" s="7"/>
      <c r="V7" s="7"/>
      <c r="W7" s="7" t="s">
        <v>29</v>
      </c>
      <c r="X7" s="7"/>
      <c r="Y7" s="7"/>
      <c r="Z7" s="7"/>
      <c r="AA7" s="7"/>
      <c r="AG7" s="24" t="s">
        <v>28</v>
      </c>
    </row>
    <row r="8" spans="1:33" s="23" customFormat="1" ht="15.95" customHeight="1" thickBot="1">
      <c r="A8" s="50" t="s">
        <v>44</v>
      </c>
      <c r="B8" s="53" t="s">
        <v>49</v>
      </c>
      <c r="C8" s="52" t="s">
        <v>64</v>
      </c>
      <c r="D8" s="27">
        <v>4</v>
      </c>
      <c r="E8" s="75"/>
      <c r="F8" s="67"/>
      <c r="G8" s="67"/>
      <c r="H8" s="68"/>
      <c r="I8" s="31">
        <f>SUM(E8:H8)</f>
        <v>0</v>
      </c>
      <c r="J8" s="52">
        <v>2</v>
      </c>
      <c r="K8" s="45">
        <f>IF(OR(J8=1,J8=2),I8*J8,"")</f>
        <v>0</v>
      </c>
      <c r="L8" s="45">
        <f>COUNT(E8:H8)*J8</f>
        <v>0</v>
      </c>
      <c r="M8" s="46">
        <v>355</v>
      </c>
      <c r="N8" s="47">
        <v>3.6</v>
      </c>
      <c r="O8" s="46" t="str">
        <f t="shared" si="0"/>
        <v/>
      </c>
      <c r="P8" s="46" t="str">
        <f t="shared" si="1"/>
        <v/>
      </c>
      <c r="Q8" s="48" t="str">
        <f>IF(COUNTBLANK(E8:H8)&gt;0,"Alle 4 Noten eintragen!","")</f>
        <v>Alle 4 Noten eintragen!</v>
      </c>
      <c r="R8" s="18" t="str">
        <f>IF(OR(B8=B$36,B8=B$37,B8=B$38),IF(COUNTIF(E8:H8,0)&gt;0,"0 Punkte  =&gt; nicht best.!",""),"")</f>
        <v/>
      </c>
      <c r="S8" s="49"/>
      <c r="T8" s="24"/>
      <c r="U8" s="7"/>
      <c r="V8" s="7"/>
      <c r="W8" s="7" t="s">
        <v>30</v>
      </c>
      <c r="X8" s="7"/>
      <c r="Y8" s="7"/>
      <c r="Z8" s="7"/>
      <c r="AA8" s="7"/>
      <c r="AG8" s="7" t="s">
        <v>22</v>
      </c>
    </row>
    <row r="9" spans="1:33" s="23" customFormat="1" ht="15.95" customHeight="1" thickBot="1">
      <c r="A9" s="50" t="s">
        <v>45</v>
      </c>
      <c r="B9" s="146" t="s">
        <v>9</v>
      </c>
      <c r="C9" s="147"/>
      <c r="D9" s="27">
        <v>4</v>
      </c>
      <c r="E9" s="75"/>
      <c r="F9" s="67"/>
      <c r="G9" s="67"/>
      <c r="H9" s="68"/>
      <c r="I9" s="31">
        <f>SUM(E9:H9)</f>
        <v>0</v>
      </c>
      <c r="J9" s="113">
        <f>IF(OR(D9=2,D9=4),1,"")</f>
        <v>1</v>
      </c>
      <c r="K9" s="45">
        <f>IF(OR(J9=1,J9=2),I9*J9,"")</f>
        <v>0</v>
      </c>
      <c r="L9" s="45">
        <f>COUNT(E9:H9)*J9</f>
        <v>0</v>
      </c>
      <c r="M9" s="46">
        <v>373</v>
      </c>
      <c r="N9" s="47">
        <v>3.5</v>
      </c>
      <c r="O9" s="46" t="str">
        <f t="shared" si="0"/>
        <v/>
      </c>
      <c r="P9" s="46" t="str">
        <f t="shared" si="1"/>
        <v/>
      </c>
      <c r="Q9" s="48" t="str">
        <f t="shared" ref="Q9:Q27" si="3">IF(OR(B9=B$36,B9=B$37,B9=B$38),IF(COUNTBLANK(E9:H9)&gt;0,"Alle 4 Noten eintragen!",""),"")</f>
        <v/>
      </c>
      <c r="R9" s="18" t="str">
        <f t="shared" ref="R9:R18" si="4">IF(OR(B9=B$36,B9=B$37,B9=B$38),IF(COUNTIF(E9:H9,0)&gt;0,"0 Punkte  =&gt; nicht best.!",""),"")</f>
        <v/>
      </c>
      <c r="S9" s="49"/>
      <c r="T9" s="24" t="s">
        <v>6</v>
      </c>
      <c r="U9" s="7"/>
      <c r="V9" s="7"/>
      <c r="W9" s="7" t="s">
        <v>31</v>
      </c>
      <c r="X9" s="7"/>
      <c r="Y9" s="7"/>
      <c r="Z9" s="7"/>
      <c r="AA9" s="7"/>
      <c r="AG9" s="7" t="s">
        <v>25</v>
      </c>
    </row>
    <row r="10" spans="1:33" s="23" customFormat="1" ht="15.95" customHeight="1" thickBot="1">
      <c r="A10" s="50" t="s">
        <v>45</v>
      </c>
      <c r="B10" s="146" t="s">
        <v>39</v>
      </c>
      <c r="C10" s="147"/>
      <c r="D10" s="27">
        <v>2</v>
      </c>
      <c r="E10" s="75"/>
      <c r="F10" s="67"/>
      <c r="G10" s="67"/>
      <c r="H10" s="68"/>
      <c r="I10" s="31">
        <f>IF(D10="","",SUM(E10:H10))</f>
        <v>0</v>
      </c>
      <c r="J10" s="52">
        <f>IF(D10=2,1,"")</f>
        <v>1</v>
      </c>
      <c r="K10" s="45">
        <f>IF(OR(J10=1,J10=2),I10*J10,"")</f>
        <v>0</v>
      </c>
      <c r="L10" s="45">
        <f>COUNT(E10:H10)*J10</f>
        <v>0</v>
      </c>
      <c r="M10" s="46">
        <v>391</v>
      </c>
      <c r="N10" s="47">
        <v>3.4</v>
      </c>
      <c r="O10" s="46" t="str">
        <f t="shared" si="0"/>
        <v/>
      </c>
      <c r="P10" s="46" t="str">
        <f t="shared" si="1"/>
        <v/>
      </c>
      <c r="Q10" s="48" t="str">
        <f t="shared" si="3"/>
        <v/>
      </c>
      <c r="R10" s="18" t="str">
        <f t="shared" si="4"/>
        <v/>
      </c>
      <c r="S10" s="49"/>
      <c r="T10" s="7" t="s">
        <v>7</v>
      </c>
      <c r="U10" s="7"/>
      <c r="V10" s="7"/>
      <c r="W10" s="7" t="s">
        <v>32</v>
      </c>
      <c r="X10" s="7"/>
      <c r="Y10" s="7"/>
      <c r="Z10" s="7"/>
      <c r="AA10" s="7"/>
      <c r="AG10" s="7" t="s">
        <v>26</v>
      </c>
    </row>
    <row r="11" spans="1:33" s="23" customFormat="1" ht="15.95" customHeight="1" thickBot="1">
      <c r="A11" s="50" t="s">
        <v>12</v>
      </c>
      <c r="B11" s="146" t="s">
        <v>12</v>
      </c>
      <c r="C11" s="147"/>
      <c r="D11" s="27">
        <v>2</v>
      </c>
      <c r="E11" s="75"/>
      <c r="F11" s="67"/>
      <c r="G11" s="67"/>
      <c r="H11" s="68"/>
      <c r="I11" s="31">
        <f>IF(D11="","",SUM(E11:H11))</f>
        <v>0</v>
      </c>
      <c r="J11" s="52">
        <f>IF(D11=2,1,"")</f>
        <v>1</v>
      </c>
      <c r="K11" s="45">
        <f>IF(OR(J11=1,J11=2),I11*J11,"")</f>
        <v>0</v>
      </c>
      <c r="L11" s="45">
        <f>COUNT(E11:H11)*J11</f>
        <v>0</v>
      </c>
      <c r="M11" s="46">
        <v>409</v>
      </c>
      <c r="N11" s="47">
        <v>3.3</v>
      </c>
      <c r="O11" s="46" t="str">
        <f t="shared" si="0"/>
        <v/>
      </c>
      <c r="P11" s="46" t="str">
        <f t="shared" si="1"/>
        <v/>
      </c>
      <c r="Q11" s="48" t="str">
        <f t="shared" si="3"/>
        <v/>
      </c>
      <c r="R11" s="18" t="str">
        <f t="shared" si="4"/>
        <v/>
      </c>
      <c r="S11" s="49"/>
      <c r="T11" s="20" t="s">
        <v>20</v>
      </c>
      <c r="U11" s="7"/>
      <c r="V11" s="7"/>
      <c r="W11" s="7" t="s">
        <v>42</v>
      </c>
      <c r="X11" s="7"/>
      <c r="Y11" s="7"/>
      <c r="Z11" s="7"/>
      <c r="AA11" s="7"/>
      <c r="AG11" s="7" t="s">
        <v>27</v>
      </c>
    </row>
    <row r="12" spans="1:33" s="23" customFormat="1" ht="15.95" customHeight="1" thickBot="1">
      <c r="A12" s="38" t="s">
        <v>13</v>
      </c>
      <c r="B12" s="148"/>
      <c r="C12" s="149"/>
      <c r="D12" s="40"/>
      <c r="E12" s="41"/>
      <c r="F12" s="42"/>
      <c r="G12" s="42"/>
      <c r="H12" s="43"/>
      <c r="I12" s="44"/>
      <c r="J12" s="42"/>
      <c r="K12" s="45"/>
      <c r="L12" s="45"/>
      <c r="M12" s="46">
        <v>427</v>
      </c>
      <c r="N12" s="47">
        <v>3.2</v>
      </c>
      <c r="O12" s="46" t="str">
        <f t="shared" si="0"/>
        <v/>
      </c>
      <c r="P12" s="46" t="str">
        <f t="shared" si="1"/>
        <v/>
      </c>
      <c r="Q12" s="137"/>
      <c r="R12" s="154"/>
      <c r="S12" s="49"/>
      <c r="T12" s="7" t="s">
        <v>21</v>
      </c>
      <c r="U12" s="7"/>
      <c r="V12" s="7"/>
      <c r="W12" s="7"/>
      <c r="X12" s="7"/>
      <c r="Y12" s="7"/>
      <c r="Z12" s="7"/>
      <c r="AA12" s="7"/>
      <c r="AG12" s="21" t="s">
        <v>9</v>
      </c>
    </row>
    <row r="13" spans="1:33" s="60" customFormat="1" ht="15.95" hidden="1" customHeight="1" thickBot="1">
      <c r="A13" s="54"/>
      <c r="B13" s="150"/>
      <c r="C13" s="151"/>
      <c r="D13" s="55"/>
      <c r="E13" s="56"/>
      <c r="F13" s="57"/>
      <c r="G13" s="57"/>
      <c r="H13" s="58"/>
      <c r="I13" s="31"/>
      <c r="J13" s="52"/>
      <c r="K13" s="45"/>
      <c r="L13" s="45"/>
      <c r="M13" s="46"/>
      <c r="N13" s="47"/>
      <c r="O13" s="46"/>
      <c r="P13" s="46"/>
      <c r="Q13" s="48"/>
      <c r="R13" s="18"/>
      <c r="S13" s="59"/>
      <c r="T13" s="24" t="s">
        <v>28</v>
      </c>
      <c r="U13" s="7"/>
      <c r="V13" s="7"/>
      <c r="W13" s="7"/>
      <c r="X13" s="7"/>
      <c r="Y13" s="7"/>
      <c r="Z13" s="7"/>
      <c r="AA13" s="7"/>
      <c r="AG13" s="7" t="s">
        <v>41</v>
      </c>
    </row>
    <row r="14" spans="1:33" s="60" customFormat="1" ht="15.95" hidden="1" customHeight="1" thickBot="1">
      <c r="A14" s="61"/>
      <c r="B14" s="152"/>
      <c r="C14" s="153"/>
      <c r="D14" s="63"/>
      <c r="E14" s="56"/>
      <c r="F14" s="57"/>
      <c r="G14" s="57"/>
      <c r="H14" s="58"/>
      <c r="I14" s="31"/>
      <c r="J14" s="52"/>
      <c r="K14" s="45"/>
      <c r="L14" s="45"/>
      <c r="M14" s="46"/>
      <c r="N14" s="64"/>
      <c r="O14" s="46"/>
      <c r="P14" s="46"/>
      <c r="Q14" s="48"/>
      <c r="R14" s="18"/>
      <c r="S14" s="59"/>
      <c r="T14" s="7" t="s">
        <v>22</v>
      </c>
      <c r="U14" s="7"/>
      <c r="V14" s="7"/>
      <c r="W14" s="7"/>
      <c r="X14" s="7"/>
      <c r="Y14" s="7"/>
      <c r="Z14" s="7"/>
      <c r="AA14" s="7"/>
      <c r="AG14" s="22" t="s">
        <v>11</v>
      </c>
    </row>
    <row r="15" spans="1:33" s="23" customFormat="1" ht="15.95" customHeight="1" thickBot="1">
      <c r="A15" s="50" t="s">
        <v>47</v>
      </c>
      <c r="B15" s="141" t="s">
        <v>40</v>
      </c>
      <c r="C15" s="142"/>
      <c r="D15" s="27">
        <v>4</v>
      </c>
      <c r="E15" s="75"/>
      <c r="F15" s="67"/>
      <c r="G15" s="67"/>
      <c r="H15" s="68"/>
      <c r="I15" s="31">
        <f t="shared" ref="I15:I18" si="5">IF(D15="","",SUM(E15:H15))</f>
        <v>0</v>
      </c>
      <c r="J15" s="67">
        <f>IF(D15=4,1,"")</f>
        <v>1</v>
      </c>
      <c r="K15" s="45">
        <f t="shared" ref="K15:K18" si="6">IF(OR(J15=1,J15=2),I15*J15,"")</f>
        <v>0</v>
      </c>
      <c r="L15" s="45" t="str">
        <f t="shared" ref="L15:L18" si="7">IF(COUNT(E15:H15)=0,"",COUNT(E15:H15)*J15)</f>
        <v/>
      </c>
      <c r="M15" s="46">
        <v>481</v>
      </c>
      <c r="N15" s="47">
        <v>2.9</v>
      </c>
      <c r="O15" s="46" t="str">
        <f t="shared" si="0"/>
        <v/>
      </c>
      <c r="P15" s="46" t="str">
        <f t="shared" si="1"/>
        <v/>
      </c>
      <c r="Q15" s="48" t="str">
        <f>IF(COUNTBLANK(E15:H15)&gt;0,"Alle 4 Noten eintragen!","")</f>
        <v>Alle 4 Noten eintragen!</v>
      </c>
      <c r="R15" s="18" t="str">
        <f t="shared" si="4"/>
        <v/>
      </c>
      <c r="S15" s="49"/>
      <c r="U15" s="7"/>
      <c r="V15" s="7"/>
      <c r="W15" s="7"/>
      <c r="X15" s="7"/>
      <c r="Y15" s="7"/>
      <c r="Z15" s="7"/>
      <c r="AA15" s="7"/>
      <c r="AG15" s="7" t="s">
        <v>23</v>
      </c>
    </row>
    <row r="16" spans="1:33" s="23" customFormat="1" ht="15.95" customHeight="1" thickBot="1">
      <c r="A16" s="50" t="s">
        <v>48</v>
      </c>
      <c r="B16" s="141" t="s">
        <v>40</v>
      </c>
      <c r="C16" s="142"/>
      <c r="D16" s="27">
        <v>2</v>
      </c>
      <c r="E16" s="75"/>
      <c r="F16" s="67"/>
      <c r="G16" s="67"/>
      <c r="H16" s="68"/>
      <c r="I16" s="31">
        <f t="shared" si="5"/>
        <v>0</v>
      </c>
      <c r="J16" s="52">
        <f>IF(D16=2,1,"")</f>
        <v>1</v>
      </c>
      <c r="K16" s="45">
        <f t="shared" si="6"/>
        <v>0</v>
      </c>
      <c r="L16" s="45" t="str">
        <f t="shared" si="7"/>
        <v/>
      </c>
      <c r="M16" s="46">
        <v>499</v>
      </c>
      <c r="N16" s="47">
        <v>2.8</v>
      </c>
      <c r="O16" s="46" t="str">
        <f t="shared" si="0"/>
        <v/>
      </c>
      <c r="P16" s="46" t="str">
        <f t="shared" si="1"/>
        <v/>
      </c>
      <c r="Q16" s="48" t="str">
        <f t="shared" si="3"/>
        <v/>
      </c>
      <c r="R16" s="18" t="str">
        <f t="shared" si="4"/>
        <v/>
      </c>
      <c r="S16" s="49"/>
      <c r="T16" s="7"/>
      <c r="U16" s="7"/>
      <c r="V16" s="7"/>
      <c r="W16" s="7"/>
      <c r="X16" s="7"/>
      <c r="Y16" s="7"/>
      <c r="Z16" s="7"/>
      <c r="AA16" s="7"/>
      <c r="AG16" s="7" t="s">
        <v>24</v>
      </c>
    </row>
    <row r="17" spans="1:33" s="23" customFormat="1" ht="15.95" hidden="1" customHeight="1" thickBot="1">
      <c r="A17" s="50"/>
      <c r="B17" s="141"/>
      <c r="C17" s="142"/>
      <c r="D17" s="27"/>
      <c r="E17" s="75"/>
      <c r="F17" s="67"/>
      <c r="G17" s="67"/>
      <c r="H17" s="68"/>
      <c r="I17" s="31"/>
      <c r="J17" s="52"/>
      <c r="K17" s="45"/>
      <c r="L17" s="45"/>
      <c r="M17" s="46"/>
      <c r="N17" s="47"/>
      <c r="O17" s="46"/>
      <c r="P17" s="46"/>
      <c r="Q17" s="48"/>
      <c r="R17" s="18"/>
      <c r="S17" s="49"/>
      <c r="U17" s="7"/>
      <c r="V17" s="7"/>
      <c r="W17" s="7"/>
      <c r="X17" s="7"/>
      <c r="Y17" s="7"/>
      <c r="Z17" s="7"/>
      <c r="AA17" s="7"/>
      <c r="AG17" s="7" t="s">
        <v>33</v>
      </c>
    </row>
    <row r="18" spans="1:33" s="23" customFormat="1" ht="15.95" customHeight="1" thickBot="1">
      <c r="A18" s="50" t="s">
        <v>14</v>
      </c>
      <c r="B18" s="146" t="s">
        <v>14</v>
      </c>
      <c r="C18" s="155"/>
      <c r="D18" s="27">
        <v>2</v>
      </c>
      <c r="E18" s="75"/>
      <c r="F18" s="67"/>
      <c r="G18" s="67"/>
      <c r="H18" s="68"/>
      <c r="I18" s="31">
        <f t="shared" si="5"/>
        <v>0</v>
      </c>
      <c r="J18" s="52">
        <f>IF(D18=2,1,"")</f>
        <v>1</v>
      </c>
      <c r="K18" s="45">
        <f t="shared" si="6"/>
        <v>0</v>
      </c>
      <c r="L18" s="45" t="str">
        <f t="shared" si="7"/>
        <v/>
      </c>
      <c r="M18" s="46">
        <v>535</v>
      </c>
      <c r="N18" s="47">
        <v>2.6</v>
      </c>
      <c r="O18" s="46" t="str">
        <f t="shared" si="0"/>
        <v/>
      </c>
      <c r="P18" s="46" t="str">
        <f t="shared" si="1"/>
        <v/>
      </c>
      <c r="Q18" s="48" t="str">
        <f t="shared" si="3"/>
        <v/>
      </c>
      <c r="R18" s="18" t="str">
        <f t="shared" si="4"/>
        <v/>
      </c>
      <c r="S18" s="49"/>
      <c r="U18" s="7"/>
      <c r="V18" s="7"/>
      <c r="W18" s="7"/>
      <c r="X18" s="7"/>
      <c r="Y18" s="7"/>
      <c r="Z18" s="7"/>
      <c r="AA18" s="7"/>
      <c r="AG18" s="7" t="s">
        <v>49</v>
      </c>
    </row>
    <row r="19" spans="1:33" s="23" customFormat="1" ht="15.95" customHeight="1" thickBot="1">
      <c r="A19" s="38" t="s">
        <v>15</v>
      </c>
      <c r="B19" s="148"/>
      <c r="C19" s="149"/>
      <c r="D19" s="40"/>
      <c r="E19" s="41"/>
      <c r="F19" s="42"/>
      <c r="G19" s="42"/>
      <c r="H19" s="43"/>
      <c r="I19" s="44"/>
      <c r="J19" s="42"/>
      <c r="K19" s="45"/>
      <c r="L19" s="45"/>
      <c r="M19" s="46">
        <v>553</v>
      </c>
      <c r="N19" s="47">
        <v>2.5</v>
      </c>
      <c r="O19" s="46" t="str">
        <f t="shared" si="0"/>
        <v/>
      </c>
      <c r="P19" s="46" t="str">
        <f t="shared" si="1"/>
        <v/>
      </c>
      <c r="Q19" s="48" t="str">
        <f>IF(OR(B13="Auswahlliste!",B14="Auswahlliste!",B15="Auswahlliste!",B16="Auswahlliste!",B17="Auswahlliste!"),"Wahlpfl.fächer wählen!","")</f>
        <v>Wahlpfl.fächer wählen!</v>
      </c>
      <c r="R19" s="18"/>
      <c r="S19" s="49"/>
      <c r="U19" s="7"/>
      <c r="V19" s="7"/>
      <c r="W19" s="7"/>
      <c r="X19" s="7"/>
      <c r="Y19" s="7"/>
      <c r="Z19" s="7"/>
      <c r="AA19" s="7"/>
      <c r="AG19" s="7" t="s">
        <v>34</v>
      </c>
    </row>
    <row r="20" spans="1:33" s="23" customFormat="1" ht="15.95" customHeight="1" thickBot="1">
      <c r="A20" s="50" t="s">
        <v>56</v>
      </c>
      <c r="B20" s="141" t="s">
        <v>42</v>
      </c>
      <c r="C20" s="142"/>
      <c r="D20" s="27" t="str">
        <f>IF(OR(B20=V3,B20=V4,B20=V5),4,"")</f>
        <v/>
      </c>
      <c r="E20" s="75"/>
      <c r="F20" s="67"/>
      <c r="G20" s="67"/>
      <c r="H20" s="68"/>
      <c r="I20" s="31" t="str">
        <f>IF(D20="","",SUM(E20:H20))</f>
        <v/>
      </c>
      <c r="J20" s="136" t="str">
        <f>IF(D20=4,1,"")</f>
        <v/>
      </c>
      <c r="K20" s="45" t="str">
        <f t="shared" ref="K20:K27" si="8">IF(OR(J20=1,J20=2),I20*J20,"")</f>
        <v/>
      </c>
      <c r="L20" s="45" t="str">
        <f t="shared" ref="L20:L27" si="9">IF(COUNT(E20:H20)=0,"",COUNT(E20:H20)*J20)</f>
        <v/>
      </c>
      <c r="M20" s="46">
        <v>571</v>
      </c>
      <c r="N20" s="47">
        <v>2.4</v>
      </c>
      <c r="O20" s="46" t="str">
        <f t="shared" si="0"/>
        <v/>
      </c>
      <c r="P20" s="46" t="str">
        <f t="shared" si="1"/>
        <v/>
      </c>
      <c r="Q20" s="48" t="str">
        <f t="shared" si="3"/>
        <v/>
      </c>
      <c r="R20" s="18" t="str">
        <f t="shared" ref="R20:R27" si="10">IF(AND(COUNTBLANK(E20:H20)&lt;4,D20=""),"Fach auswählen!",IF(OR(B20=B$36,B20=B$37,B20=B$38),IF(COUNTIF(E20:H20,0)&gt;0,"0 Punkte  =&gt; nicht best.!",""),""))</f>
        <v/>
      </c>
      <c r="S20" s="49"/>
      <c r="U20" s="7"/>
      <c r="V20" s="7"/>
      <c r="W20" s="7"/>
      <c r="X20" s="7"/>
      <c r="Y20" s="7"/>
      <c r="Z20" s="7"/>
      <c r="AA20" s="7"/>
      <c r="AG20" s="21" t="s">
        <v>39</v>
      </c>
    </row>
    <row r="21" spans="1:33" s="23" customFormat="1" ht="15.95" customHeight="1" thickBot="1">
      <c r="A21" s="65" t="s">
        <v>55</v>
      </c>
      <c r="B21" s="160" t="s">
        <v>42</v>
      </c>
      <c r="C21" s="161"/>
      <c r="D21" s="66" t="str">
        <f>IF(OR(B21=W3,B21=W4,B21=W5,B21=W6),4,"")</f>
        <v/>
      </c>
      <c r="E21" s="166"/>
      <c r="F21" s="169"/>
      <c r="G21" s="169"/>
      <c r="H21" s="170"/>
      <c r="I21" s="69" t="str">
        <f>IF(D21="","",SUM(E21:H21))</f>
        <v/>
      </c>
      <c r="J21" s="70" t="str">
        <f>IF(D21=4,1,"")</f>
        <v/>
      </c>
      <c r="K21" s="45" t="str">
        <f t="shared" si="8"/>
        <v/>
      </c>
      <c r="L21" s="45" t="str">
        <f t="shared" si="9"/>
        <v/>
      </c>
      <c r="M21" s="46">
        <v>589</v>
      </c>
      <c r="N21" s="47">
        <v>2.2999999999999998</v>
      </c>
      <c r="O21" s="46" t="str">
        <f t="shared" si="0"/>
        <v/>
      </c>
      <c r="P21" s="46" t="str">
        <f t="shared" si="1"/>
        <v/>
      </c>
      <c r="Q21" s="48" t="str">
        <f t="shared" si="3"/>
        <v/>
      </c>
      <c r="R21" s="18" t="str">
        <f>IF(AND(COUNTBLANK(E21:H21)&lt;4,D21=""),"Fach auswählen!",IF(OR(B21=B$36,B21=B$37,B21=B$38),IF(COUNTIF(E21:H21,0)&gt;0,"0 Punkte  =&gt; nicht best.!",""),""))</f>
        <v/>
      </c>
      <c r="S21" s="49"/>
      <c r="U21" s="7"/>
      <c r="V21" s="7"/>
      <c r="W21" s="7"/>
      <c r="X21" s="7"/>
      <c r="Y21" s="7"/>
      <c r="Z21" s="7"/>
      <c r="AA21" s="7"/>
      <c r="AG21" s="7" t="s">
        <v>14</v>
      </c>
    </row>
    <row r="22" spans="1:33" s="23" customFormat="1" ht="15.95" customHeight="1" thickBot="1">
      <c r="A22" s="65" t="s">
        <v>16</v>
      </c>
      <c r="B22" s="162"/>
      <c r="C22" s="163"/>
      <c r="D22" s="71" t="str">
        <f>IF(B21=W7,2,"")</f>
        <v/>
      </c>
      <c r="E22" s="167"/>
      <c r="F22" s="169"/>
      <c r="G22" s="169"/>
      <c r="H22" s="170"/>
      <c r="I22" s="72" t="str">
        <f>IF(D22="","",SUM(E22:H22))</f>
        <v/>
      </c>
      <c r="J22" s="73" t="str">
        <f t="shared" ref="J22:J29" si="11">IF(D22=2,1,"")</f>
        <v/>
      </c>
      <c r="K22" s="45" t="str">
        <f t="shared" si="8"/>
        <v/>
      </c>
      <c r="L22" s="45" t="str">
        <f t="shared" si="9"/>
        <v/>
      </c>
      <c r="M22" s="46">
        <v>607</v>
      </c>
      <c r="N22" s="47">
        <v>2.2000000000000002</v>
      </c>
      <c r="O22" s="46" t="str">
        <f t="shared" si="0"/>
        <v/>
      </c>
      <c r="P22" s="46" t="str">
        <f t="shared" si="1"/>
        <v/>
      </c>
      <c r="Q22" s="48" t="str">
        <f>IF(OR(B21=B$36,B21=B$37,B21=B$38),IF(COUNTBLANK(E21:H21)&gt;0,"Alle 4 Noten eintragen!",""),"")</f>
        <v/>
      </c>
      <c r="R22" s="18" t="str">
        <f>IF(AND(COUNTBLANK(E21:H21)&lt;4,D22=""),"Fach auswählen!",IF(OR(B22=B$36,B22=B$37,B22=B$38),IF(COUNTIF(E22:H22,0)&gt;0,"0 Punkte  =&gt; nicht best.!",""),""))</f>
        <v/>
      </c>
      <c r="S22" s="49"/>
      <c r="U22" s="7"/>
      <c r="V22" s="7"/>
      <c r="W22" s="7"/>
      <c r="X22" s="7"/>
      <c r="Y22" s="7"/>
      <c r="Z22" s="7"/>
      <c r="AA22" s="7"/>
      <c r="AG22" s="7"/>
    </row>
    <row r="23" spans="1:33" s="23" customFormat="1" ht="15.95" customHeight="1" thickBot="1">
      <c r="A23" s="50" t="s">
        <v>43</v>
      </c>
      <c r="B23" s="164"/>
      <c r="C23" s="165"/>
      <c r="D23" s="74" t="str">
        <f>IF(OR(B21=W8,B21=W9,B21=W10),2,"")</f>
        <v/>
      </c>
      <c r="E23" s="168"/>
      <c r="F23" s="169"/>
      <c r="G23" s="169"/>
      <c r="H23" s="170"/>
      <c r="I23" s="76" t="str">
        <f>IF(D23="","",SUM(E23:H23))</f>
        <v/>
      </c>
      <c r="J23" s="77" t="str">
        <f t="shared" si="11"/>
        <v/>
      </c>
      <c r="K23" s="45" t="str">
        <f t="shared" si="8"/>
        <v/>
      </c>
      <c r="L23" s="45" t="str">
        <f t="shared" si="9"/>
        <v/>
      </c>
      <c r="M23" s="46">
        <v>625</v>
      </c>
      <c r="N23" s="47">
        <v>2.1</v>
      </c>
      <c r="O23" s="46" t="str">
        <f t="shared" si="0"/>
        <v/>
      </c>
      <c r="P23" s="46" t="str">
        <f t="shared" si="1"/>
        <v/>
      </c>
      <c r="Q23" s="48" t="str">
        <f>IF(OR(B21=B$36,B21=B$37,B21=B$38),IF(COUNTBLANK(E21:H21)&gt;0,"Alle 4 Noten eintragen!",""),"")</f>
        <v/>
      </c>
      <c r="R23" s="18" t="str">
        <f>IF(AND(COUNTBLANK(E21:H21)&lt;4,D23=""),"Fach auswählen!",IF(OR(B23=B$36,B23=B$37,B23=B$38),IF(COUNTIF(E23:H23,0)&gt;0,"0 Punkte  =&gt; nicht best.!",""),""))</f>
        <v/>
      </c>
      <c r="S23" s="49"/>
      <c r="T23" s="7"/>
      <c r="U23" s="7"/>
      <c r="V23" s="7"/>
      <c r="W23" s="7"/>
      <c r="X23" s="7"/>
      <c r="Y23" s="7"/>
      <c r="Z23" s="7"/>
      <c r="AA23" s="7"/>
      <c r="AG23" s="7"/>
    </row>
    <row r="24" spans="1:33" s="23" customFormat="1" ht="15.95" customHeight="1" thickBot="1">
      <c r="A24" s="50" t="s">
        <v>88</v>
      </c>
      <c r="B24" s="141" t="s">
        <v>42</v>
      </c>
      <c r="C24" s="142"/>
      <c r="D24" s="27" t="str">
        <f>IF(OR(B24=Y3,B24=Y4),2,"")</f>
        <v/>
      </c>
      <c r="E24" s="75"/>
      <c r="F24" s="67"/>
      <c r="G24" s="67"/>
      <c r="H24" s="68"/>
      <c r="I24" s="31" t="str">
        <f>IF(D24="","",SUM(E24:H24))</f>
        <v/>
      </c>
      <c r="J24" s="78" t="str">
        <f t="shared" si="11"/>
        <v/>
      </c>
      <c r="K24" s="45" t="str">
        <f t="shared" si="8"/>
        <v/>
      </c>
      <c r="L24" s="45" t="str">
        <f t="shared" si="9"/>
        <v/>
      </c>
      <c r="M24" s="46">
        <v>643</v>
      </c>
      <c r="N24" s="64">
        <v>2</v>
      </c>
      <c r="O24" s="46" t="str">
        <f t="shared" si="0"/>
        <v/>
      </c>
      <c r="P24" s="46" t="str">
        <f t="shared" si="1"/>
        <v/>
      </c>
      <c r="Q24" s="48" t="str">
        <f t="shared" si="3"/>
        <v/>
      </c>
      <c r="R24" s="18" t="str">
        <f t="shared" si="10"/>
        <v/>
      </c>
      <c r="S24" s="49"/>
      <c r="U24" s="7"/>
      <c r="V24" s="7"/>
      <c r="W24" s="7"/>
      <c r="X24" s="7"/>
      <c r="Y24" s="7"/>
      <c r="Z24" s="7"/>
      <c r="AA24" s="7"/>
    </row>
    <row r="25" spans="1:33" s="23" customFormat="1" ht="15.95" customHeight="1" thickBot="1">
      <c r="A25" s="50" t="s">
        <v>51</v>
      </c>
      <c r="B25" s="141" t="s">
        <v>42</v>
      </c>
      <c r="C25" s="142"/>
      <c r="D25" s="27" t="str">
        <f>IF(OR(B25=Z3,B25=Z4,B25=Z5),2,"")</f>
        <v/>
      </c>
      <c r="E25" s="75"/>
      <c r="F25" s="67"/>
      <c r="G25" s="67"/>
      <c r="H25" s="68"/>
      <c r="I25" s="31" t="str">
        <f t="shared" ref="I25:I27" si="12">IF(D25="","",SUM(E25:H25))</f>
        <v/>
      </c>
      <c r="J25" s="78" t="str">
        <f t="shared" si="11"/>
        <v/>
      </c>
      <c r="K25" s="45" t="str">
        <f t="shared" si="8"/>
        <v/>
      </c>
      <c r="L25" s="45" t="str">
        <f t="shared" si="9"/>
        <v/>
      </c>
      <c r="M25" s="46">
        <v>661</v>
      </c>
      <c r="N25" s="47">
        <v>1.9</v>
      </c>
      <c r="O25" s="46" t="str">
        <f t="shared" si="0"/>
        <v/>
      </c>
      <c r="P25" s="46" t="str">
        <f t="shared" si="1"/>
        <v/>
      </c>
      <c r="Q25" s="48" t="str">
        <f>IF(COUNTBLANK(E25:H25)=0,"Nur 3 Kurse einzubringen!","")</f>
        <v/>
      </c>
      <c r="R25" s="18" t="str">
        <f t="shared" si="10"/>
        <v/>
      </c>
      <c r="S25" s="49"/>
      <c r="U25" s="7"/>
      <c r="V25" s="7"/>
      <c r="W25" s="7"/>
      <c r="X25" s="7"/>
      <c r="Y25" s="7"/>
      <c r="Z25" s="7"/>
      <c r="AA25" s="7"/>
    </row>
    <row r="26" spans="1:33" s="23" customFormat="1" ht="15.95" customHeight="1" thickBot="1">
      <c r="A26" s="50" t="s">
        <v>17</v>
      </c>
      <c r="B26" s="141" t="s">
        <v>42</v>
      </c>
      <c r="C26" s="142"/>
      <c r="D26" s="27" t="str">
        <f>IF(B26=AB4,2,"")</f>
        <v/>
      </c>
      <c r="E26" s="75"/>
      <c r="F26" s="67"/>
      <c r="G26" s="67"/>
      <c r="H26" s="68"/>
      <c r="I26" s="31" t="str">
        <f t="shared" si="12"/>
        <v/>
      </c>
      <c r="J26" s="78" t="str">
        <f t="shared" si="11"/>
        <v/>
      </c>
      <c r="K26" s="45" t="str">
        <f t="shared" si="8"/>
        <v/>
      </c>
      <c r="L26" s="45" t="str">
        <f t="shared" si="9"/>
        <v/>
      </c>
      <c r="M26" s="46">
        <v>679</v>
      </c>
      <c r="N26" s="47">
        <v>1.8</v>
      </c>
      <c r="O26" s="46" t="str">
        <f t="shared" si="0"/>
        <v/>
      </c>
      <c r="P26" s="46" t="str">
        <f>O26&amp;""&amp;P27</f>
        <v/>
      </c>
      <c r="Q26" s="48" t="str">
        <f t="shared" si="3"/>
        <v/>
      </c>
      <c r="R26" s="18" t="str">
        <f t="shared" si="10"/>
        <v/>
      </c>
      <c r="S26" s="49"/>
      <c r="U26" s="7"/>
      <c r="V26" s="7"/>
      <c r="W26" s="7"/>
      <c r="X26" s="7"/>
      <c r="Y26" s="7"/>
      <c r="Z26" s="7"/>
      <c r="AA26" s="7"/>
      <c r="AG26" s="7"/>
    </row>
    <row r="27" spans="1:33" s="23" customFormat="1" ht="15.95" customHeight="1" thickBot="1">
      <c r="A27" s="50" t="s">
        <v>57</v>
      </c>
      <c r="B27" s="141" t="s">
        <v>42</v>
      </c>
      <c r="C27" s="142"/>
      <c r="D27" s="27" t="str">
        <f>IF(OR(B27=AA3,B27=AA4),2,"")</f>
        <v/>
      </c>
      <c r="E27" s="75"/>
      <c r="F27" s="67"/>
      <c r="G27" s="67"/>
      <c r="H27" s="68"/>
      <c r="I27" s="31" t="str">
        <f t="shared" si="12"/>
        <v/>
      </c>
      <c r="J27" s="78" t="str">
        <f t="shared" si="11"/>
        <v/>
      </c>
      <c r="K27" s="45" t="str">
        <f t="shared" si="8"/>
        <v/>
      </c>
      <c r="L27" s="45" t="str">
        <f t="shared" si="9"/>
        <v/>
      </c>
      <c r="M27" s="46">
        <v>697</v>
      </c>
      <c r="N27" s="47">
        <v>1.7</v>
      </c>
      <c r="O27" s="46" t="str">
        <f t="shared" si="0"/>
        <v/>
      </c>
      <c r="P27" s="46" t="str">
        <f t="shared" si="1"/>
        <v/>
      </c>
      <c r="Q27" s="48" t="str">
        <f t="shared" si="3"/>
        <v/>
      </c>
      <c r="R27" s="18" t="str">
        <f t="shared" si="10"/>
        <v/>
      </c>
      <c r="S27" s="49"/>
      <c r="T27" s="7"/>
      <c r="U27" s="7"/>
      <c r="V27" s="7"/>
      <c r="W27" s="7"/>
      <c r="X27" s="7"/>
      <c r="Y27" s="7"/>
      <c r="Z27" s="7"/>
      <c r="AA27" s="7"/>
      <c r="AG27" s="7"/>
    </row>
    <row r="28" spans="1:33" s="23" customFormat="1" ht="15.95" hidden="1" customHeight="1" thickBot="1">
      <c r="A28" s="50"/>
      <c r="B28" s="141" t="s">
        <v>42</v>
      </c>
      <c r="C28" s="142"/>
      <c r="D28" s="27" t="str">
        <f>IF(OR(B28=AC3),2,"")</f>
        <v/>
      </c>
      <c r="E28" s="75"/>
      <c r="F28" s="67"/>
      <c r="G28" s="67"/>
      <c r="H28" s="68"/>
      <c r="I28" s="31"/>
      <c r="J28" s="78" t="str">
        <f t="shared" si="11"/>
        <v/>
      </c>
      <c r="K28" s="45"/>
      <c r="L28" s="45"/>
      <c r="M28" s="46"/>
      <c r="N28" s="47"/>
      <c r="O28" s="46"/>
      <c r="P28" s="46"/>
      <c r="Q28" s="48"/>
      <c r="R28" s="18"/>
      <c r="S28" s="49"/>
      <c r="U28" s="7"/>
      <c r="V28" s="7"/>
      <c r="W28" s="7"/>
      <c r="X28" s="7"/>
      <c r="Y28" s="7"/>
      <c r="Z28" s="7"/>
      <c r="AA28" s="7"/>
      <c r="AG28" s="7"/>
    </row>
    <row r="29" spans="1:33" s="23" customFormat="1" ht="15.95" customHeight="1" thickBot="1">
      <c r="A29" s="79" t="s">
        <v>89</v>
      </c>
      <c r="B29" s="171" t="s">
        <v>42</v>
      </c>
      <c r="C29" s="172"/>
      <c r="D29" s="27" t="str">
        <f>IF(B29=AD3,2,"")</f>
        <v/>
      </c>
      <c r="E29" s="75"/>
      <c r="F29" s="67"/>
      <c r="G29" s="67"/>
      <c r="H29" s="68"/>
      <c r="I29" s="31" t="str">
        <f t="shared" ref="I29" si="13">IF(D29="","",SUM(E29:H29))</f>
        <v/>
      </c>
      <c r="J29" s="78" t="str">
        <f t="shared" si="11"/>
        <v/>
      </c>
      <c r="K29" s="45" t="str">
        <f t="shared" ref="K29" si="14">IF(OR(J29=1,J29=2),I29*J29,"")</f>
        <v/>
      </c>
      <c r="L29" s="45" t="str">
        <f t="shared" ref="L29" si="15">IF(COUNT(E29:H29)=0,"",COUNT(E29:H29)*J29)</f>
        <v/>
      </c>
      <c r="M29" s="46">
        <v>733</v>
      </c>
      <c r="N29" s="47">
        <v>1.5</v>
      </c>
      <c r="O29" s="46" t="str">
        <f t="shared" ref="O29" si="16">IF(P30&lt;&gt;"","",IF($F$38&gt;=M29,N29,""))</f>
        <v/>
      </c>
      <c r="P29" s="46" t="str">
        <f t="shared" ref="P29" si="17">O29&amp;""&amp;P30</f>
        <v/>
      </c>
      <c r="Q29" s="48" t="str">
        <f t="shared" ref="Q29" si="18">IF(OR(B29=B$36,B29=B$37,B29=B$38),IF(COUNTBLANK(E29:H29)&gt;0,"Alle 4 Noten eintragen!",""),"")</f>
        <v/>
      </c>
      <c r="R29" s="18" t="str">
        <f>IF(AND(COUNTBLANK(E29:H29)&lt;4,D29=""),"Fach auswählen!",IF(OR(B29=B$36,B29=B$37,B29=B$38),IF(COUNTIF(E29:H29,0)&gt;0,"0 Punkte  =&gt; nicht best.!",""),""))</f>
        <v/>
      </c>
      <c r="S29" s="49"/>
      <c r="U29" s="7"/>
      <c r="V29" s="7"/>
      <c r="W29" s="7"/>
      <c r="X29" s="7"/>
      <c r="Y29" s="7"/>
      <c r="Z29" s="7"/>
      <c r="AA29" s="7"/>
      <c r="AG29" s="80"/>
    </row>
    <row r="30" spans="1:33" s="23" customFormat="1" ht="15.95" customHeight="1" thickBot="1">
      <c r="A30" s="173" t="s">
        <v>19</v>
      </c>
      <c r="B30" s="174"/>
      <c r="C30" s="175"/>
      <c r="D30" s="81">
        <f>SUM(D4:D29)</f>
        <v>32</v>
      </c>
      <c r="E30" s="183" t="s">
        <v>63</v>
      </c>
      <c r="F30" s="184"/>
      <c r="G30" s="184"/>
      <c r="H30" s="82">
        <f>COUNT(E4:H29)-COUNTIF(E4:H29,0)</f>
        <v>0</v>
      </c>
      <c r="I30" s="176" t="str">
        <f>IF(COUNTIF(J4:J29,2)&lt;3,"Faktor 3x auf 2 setzen!",IF(COUNTIF(J4:J29,2)&gt;3,"Faktor nur 3x auf 2 setzen!",""))</f>
        <v>Faktor 3x auf 2 setzen!</v>
      </c>
      <c r="J30" s="177"/>
      <c r="K30" s="177"/>
      <c r="L30" s="83"/>
      <c r="M30" s="46">
        <v>751</v>
      </c>
      <c r="N30" s="47">
        <v>1.4</v>
      </c>
      <c r="O30" s="46" t="str">
        <f t="shared" si="0"/>
        <v/>
      </c>
      <c r="P30" s="46" t="str">
        <f t="shared" si="1"/>
        <v/>
      </c>
      <c r="Q30" s="84"/>
      <c r="R30" s="18" t="str">
        <f>IF(AND(COUNTBLANK(E15:H15)&gt;0,COUNTBLANK(E20:H20)&gt;0),"4 N. in NW-Fach eintr.!",IF(OR(COUNTIF(E15:H15,0)&gt;0,COUNTIF(E20:H20,0)&gt;0),"0 Punkte  =&gt; nicht best.!",""))</f>
        <v>4 N. in NW-Fach eintr.!</v>
      </c>
      <c r="S30" s="86"/>
      <c r="U30" s="7"/>
      <c r="V30" s="7"/>
      <c r="W30" s="7"/>
      <c r="X30" s="7"/>
      <c r="Y30" s="7"/>
      <c r="Z30" s="7"/>
      <c r="AA30" s="7"/>
    </row>
    <row r="31" spans="1:33" ht="15.95" customHeight="1">
      <c r="A31" s="87"/>
      <c r="B31" s="48" t="str">
        <f>IF(OR(B20=B15,B24=B17),"Doppelbelegung!","")</f>
        <v/>
      </c>
      <c r="C31" s="137" t="str">
        <f>IF(D30&lt;34,"zu wenig Stunden/Semester","")</f>
        <v>zu wenig Stunden/Semester</v>
      </c>
      <c r="D31" s="137"/>
      <c r="E31" s="137"/>
      <c r="F31" s="103"/>
      <c r="G31" s="179" t="str">
        <f>IF(H30&lt;32,"zu wenig Kurse!","")</f>
        <v>zu wenig Kurse!</v>
      </c>
      <c r="H31" s="179"/>
      <c r="I31" s="178"/>
      <c r="J31" s="178"/>
      <c r="K31" s="178"/>
      <c r="L31" s="89"/>
      <c r="M31" s="33">
        <v>769</v>
      </c>
      <c r="N31" s="37">
        <v>1.3</v>
      </c>
      <c r="O31" s="33" t="str">
        <f t="shared" si="0"/>
        <v/>
      </c>
      <c r="P31" s="33" t="str">
        <f t="shared" si="1"/>
        <v/>
      </c>
      <c r="Q31" s="82"/>
      <c r="R31" s="90"/>
    </row>
    <row r="32" spans="1:33" ht="15.95" customHeight="1" thickBot="1">
      <c r="A32" s="87"/>
      <c r="B32" s="103"/>
      <c r="C32" s="48"/>
      <c r="D32" s="48"/>
      <c r="E32" s="48"/>
      <c r="F32" s="179" t="str">
        <f>IF(COUNTIF(E4:H29,"&gt;15")&gt;0,"Notenwert(e) zu hoch!",IF(COUNTIF(E4:H29,"&lt;5")&gt;(H30/5),"zu viele Unterkurse!",""))</f>
        <v/>
      </c>
      <c r="G32" s="180"/>
      <c r="H32" s="180"/>
      <c r="I32" s="91"/>
      <c r="J32" s="91"/>
      <c r="K32" s="91"/>
      <c r="L32" s="89"/>
      <c r="M32" s="33">
        <v>787</v>
      </c>
      <c r="N32" s="37">
        <v>1.2</v>
      </c>
      <c r="O32" s="33" t="str">
        <f t="shared" si="0"/>
        <v/>
      </c>
      <c r="P32" s="33" t="str">
        <f t="shared" si="1"/>
        <v/>
      </c>
      <c r="Q32" s="137" t="str">
        <f>IF(AND(COUNTBLANK(E9:H9)&gt;0,COUNTBLANK(E14:H14)&gt;0,COUNTBLANK(E26:H26)&gt;0,COUNTBLANK(E29:H29)&gt;0),"4 Noten in PGW, Geschichte oder Geo eintragen!",IF(OR(COUNTIF(E9:H9,0)&gt;0,COUNTIF(E14:H14,0)&gt;0,COUNTIF(E26:H26,0)&gt;0,COUNTIF(E29:H29,0)&gt;0),"0 Punkte  =&gt; nicht best.!",""))</f>
        <v>4 Noten in PGW, Geschichte oder Geo eintragen!</v>
      </c>
      <c r="R32" s="138"/>
    </row>
    <row r="33" spans="1:18" ht="15.95" customHeight="1" thickBot="1">
      <c r="A33" s="1" t="s">
        <v>67</v>
      </c>
      <c r="B33" s="92"/>
      <c r="C33" s="92"/>
      <c r="D33" s="92"/>
      <c r="E33" s="103"/>
      <c r="F33" s="103"/>
      <c r="G33" s="103"/>
      <c r="H33" s="103"/>
      <c r="I33" s="89"/>
      <c r="J33" s="89"/>
      <c r="K33" s="89"/>
      <c r="L33" s="89"/>
      <c r="M33" s="33">
        <v>805</v>
      </c>
      <c r="N33" s="37">
        <v>1.1000000000000001</v>
      </c>
      <c r="O33" s="33" t="str">
        <f>IF(P34&lt;&gt;"","",IF($F$38&gt;=M33,N33,""))</f>
        <v/>
      </c>
      <c r="P33" s="33" t="str">
        <f>O33&amp;""&amp;P34</f>
        <v/>
      </c>
      <c r="Q33" s="82"/>
      <c r="R33" s="90"/>
    </row>
    <row r="34" spans="1:18" ht="15.95" customHeight="1" thickBot="1">
      <c r="A34" s="93"/>
      <c r="B34" s="92"/>
      <c r="C34" s="94" t="s">
        <v>4</v>
      </c>
      <c r="D34" s="94" t="s">
        <v>73</v>
      </c>
      <c r="E34" s="103"/>
      <c r="F34" s="181" t="s">
        <v>74</v>
      </c>
      <c r="G34" s="182"/>
      <c r="H34" s="103"/>
      <c r="I34" s="181" t="s">
        <v>76</v>
      </c>
      <c r="J34" s="182"/>
      <c r="K34" s="89"/>
      <c r="L34" s="89"/>
      <c r="M34" s="33">
        <v>823</v>
      </c>
      <c r="N34" s="34">
        <v>1</v>
      </c>
      <c r="O34" s="33" t="str">
        <f>IF($F$38&gt;=M34,N34,"")</f>
        <v/>
      </c>
      <c r="P34" s="33" t="str">
        <f>O34</f>
        <v/>
      </c>
      <c r="Q34" s="82"/>
      <c r="R34" s="90"/>
    </row>
    <row r="35" spans="1:18" ht="15.95" customHeight="1" thickBot="1">
      <c r="A35" s="93" t="s">
        <v>68</v>
      </c>
      <c r="B35" s="95" t="s">
        <v>72</v>
      </c>
      <c r="C35" s="96" t="s">
        <v>64</v>
      </c>
      <c r="D35" s="97"/>
      <c r="E35" s="103"/>
      <c r="F35" s="185">
        <f>5*SUM(D35:D38)</f>
        <v>0</v>
      </c>
      <c r="G35" s="186"/>
      <c r="H35" s="103"/>
      <c r="I35" s="185" t="str">
        <f>IF(SUM(K4:K29)=0,"0",ROUND(SUM(K4:K29)/SUM(L4:L29)*40,0))</f>
        <v>0</v>
      </c>
      <c r="J35" s="186"/>
      <c r="K35" s="89"/>
      <c r="L35" s="89"/>
      <c r="M35" s="33"/>
      <c r="N35" s="98"/>
      <c r="O35" s="33"/>
      <c r="P35" s="33" t="str">
        <f>P34&amp;""&amp;O35</f>
        <v/>
      </c>
      <c r="Q35" s="82"/>
      <c r="R35" s="18"/>
    </row>
    <row r="36" spans="1:18" ht="15.95" customHeight="1" thickBot="1">
      <c r="A36" s="93" t="s">
        <v>69</v>
      </c>
      <c r="B36" s="99"/>
      <c r="C36" s="96" t="s">
        <v>64</v>
      </c>
      <c r="D36" s="97"/>
      <c r="E36" s="103"/>
      <c r="F36" s="191" t="str">
        <f>IF(F35&lt;100,"nicht best. (&lt;100P.)","")</f>
        <v>nicht best. (&lt;100P.)</v>
      </c>
      <c r="G36" s="191"/>
      <c r="H36" s="103"/>
      <c r="I36" s="191" t="str">
        <f>IF(I35&lt;200,"nicht best. (&lt;200P.)","")</f>
        <v/>
      </c>
      <c r="J36" s="191"/>
      <c r="K36" s="89"/>
      <c r="L36" s="89"/>
      <c r="M36" s="33"/>
      <c r="N36" s="98"/>
      <c r="O36" s="33"/>
      <c r="P36" s="33"/>
      <c r="Q36" s="82"/>
      <c r="R36" s="18"/>
    </row>
    <row r="37" spans="1:18" ht="15.95" customHeight="1" thickBot="1">
      <c r="A37" s="93" t="s">
        <v>70</v>
      </c>
      <c r="B37" s="99"/>
      <c r="C37" s="100" t="s">
        <v>66</v>
      </c>
      <c r="D37" s="97"/>
      <c r="E37" s="103"/>
      <c r="F37" s="181" t="s">
        <v>78</v>
      </c>
      <c r="G37" s="182"/>
      <c r="H37" s="103"/>
      <c r="I37" s="192" t="s">
        <v>79</v>
      </c>
      <c r="J37" s="193"/>
      <c r="K37" s="89"/>
      <c r="L37" s="89"/>
      <c r="M37" s="89"/>
      <c r="N37" s="89"/>
      <c r="O37" s="89"/>
      <c r="P37" s="89"/>
      <c r="Q37" s="82"/>
      <c r="R37" s="18"/>
    </row>
    <row r="38" spans="1:18" ht="15.95" customHeight="1" thickBot="1">
      <c r="A38" s="93" t="s">
        <v>71</v>
      </c>
      <c r="B38" s="99"/>
      <c r="C38" s="100" t="s">
        <v>66</v>
      </c>
      <c r="D38" s="97"/>
      <c r="E38" s="103"/>
      <c r="F38" s="185">
        <f>F35+I35</f>
        <v>0</v>
      </c>
      <c r="G38" s="186"/>
      <c r="H38" s="103"/>
      <c r="I38" s="194" t="str">
        <f>IF(AND(A39="",A40="",A41="",A42="",A43="",B39="",B40="",B41="",B42="",B43="",C39="",C40="",F36="",I36="",G31="",I30="",Q3="",Q4="",Q5="",Q6="",Q7="",Q8="",Q9="",Q10="",Q11="",Q12="",Q13="",Q14="",Q15="",Q16="",Q17="",Q18="",Q19="",Q20="",Q21="",Q22="",Q23="",Q24="",Q25="",Q26="",Q27="",Q28="",Q30="",Q32="",R3="",R4="",R5="",R8="",R9="",R10="",R11="",R12="",R13="",R14="",R15="",R16="",R17="",R18="",R19="",R20="",R21="",R22="",R23="",R24="",R25="",R26="",R27="",R28="",R30="",R31=""),P4,"Fehler vorhanden")</f>
        <v>Fehler vorhanden</v>
      </c>
      <c r="J38" s="195"/>
      <c r="K38" s="89"/>
      <c r="L38" s="89"/>
      <c r="M38" s="89"/>
      <c r="N38" s="89"/>
      <c r="O38" s="89"/>
      <c r="P38" s="89"/>
      <c r="Q38" s="82"/>
      <c r="R38" s="18" t="str">
        <f>IF(COUNTIF(C35:C37,"EN")&lt;2,"mind. 2x EN wählen!","")</f>
        <v/>
      </c>
    </row>
    <row r="39" spans="1:18" ht="15.95" customHeight="1">
      <c r="A39" s="93"/>
      <c r="B39" s="102" t="str">
        <f>IF(COUNTIF(B35:B38,"Deutsch")+COUNTIF(B35:B38,"Mathematik")+COUNTIF(B35:B38,"Englisch")+COUNTIF(B35:B38,"Spanisch")+COUNTIF(B35:B38,"Französisch")+COUNTIF(B35:B38,"Latein")&lt;2,"2 Kernfächer wählen!",IF(OR(B35=B36,B35=B37,B35=B38,B36=B37,B36=B38,B37=B38),"versch. Fächer wählen!",""))</f>
        <v>2 Kernfächer wählen!</v>
      </c>
      <c r="C39" s="187" t="str">
        <f>IF(COUNTIF(D35:D38,"&lt;5")&gt;2,"nicht best. (3-4mal &lt; 5 P.)","")</f>
        <v/>
      </c>
      <c r="D39" s="188"/>
      <c r="E39" s="188"/>
      <c r="F39" s="189"/>
      <c r="G39" s="189"/>
      <c r="H39" s="103"/>
      <c r="I39" s="89"/>
      <c r="J39" s="89"/>
      <c r="K39" s="89"/>
      <c r="L39" s="89"/>
      <c r="M39" s="89"/>
      <c r="N39" s="89"/>
      <c r="O39" s="89"/>
      <c r="P39" s="89"/>
      <c r="Q39" s="82"/>
      <c r="R39" s="90"/>
    </row>
    <row r="40" spans="1:18" ht="15.95" customHeight="1">
      <c r="A40" s="104" t="str">
        <f>IF(COUNTIF(B$4:B$29,B35)=1,"","1. Prüfungsfach in Block 1 nicht belegt!")</f>
        <v>1. Prüfungsfach in Block 1 nicht belegt!</v>
      </c>
      <c r="B40" s="105" t="str">
        <f>IF(COUNTIF(B35:B38,"Deutsch")+COUNTIF(B35:B38,"Englisch")+COUNTIF(B35:B38,"Spanisch")+COUNTIF(B35:B38,"Französisch")+COUNTIF(B35:B38,"Latein")+COUNTIF(B35:B38,"Kunst")+COUNTIF(B35:B38,"Musik")+COUNTIF(B35:B38,DSP)=0,"1. Aufgabenfeld fehlt!","")</f>
        <v>1. Aufgabenfeld fehlt!</v>
      </c>
      <c r="C40" s="187" t="str">
        <f>IF(OR(D35&gt;45,D36&gt;4),"",IF(AND(C37="EN",D37&gt;4),"",IF(AND(C38="EN",D38&gt;4),"","nicht bestanden (EN &lt; 5 P.)")))</f>
        <v>nicht bestanden (EN &lt; 5 P.)</v>
      </c>
      <c r="D40" s="190"/>
      <c r="E40" s="190"/>
      <c r="F40" s="103"/>
      <c r="G40" s="103"/>
      <c r="H40" s="103"/>
      <c r="I40" s="89"/>
      <c r="J40" s="89"/>
      <c r="K40" s="89"/>
      <c r="L40" s="89"/>
      <c r="M40" s="89"/>
      <c r="N40" s="89"/>
      <c r="O40" s="89"/>
      <c r="P40" s="89"/>
      <c r="Q40" s="82"/>
      <c r="R40" s="90"/>
    </row>
    <row r="41" spans="1:18" ht="15.95" customHeight="1">
      <c r="A41" s="104" t="str">
        <f>IF(COUNTIF(B$4:B$29,B36)=1,"","2. Prüfungsfach in Block 1 nicht belegt!")</f>
        <v>2. Prüfungsfach in Block 1 nicht belegt!</v>
      </c>
      <c r="B41" s="105" t="str">
        <f>IF(COUNTIF(B35:B38,"PGW")+COUNTIF(B35:B38,"Geschichte")+COUNTIF(B35:B38,"Geographie")+COUNTIF(B35:B38,"Religion")+COUNTIF(B35:B38,"Philosophie")+COUNTIF(B35:B38,"Pädagogik")+COUNTIF(B35:B38,"Psychologie")=0,"2. Aufgabenfeld fehlt!","")</f>
        <v>2. Aufgabenfeld fehlt!</v>
      </c>
      <c r="C41" s="106"/>
      <c r="D41" s="106"/>
      <c r="E41" s="106"/>
      <c r="F41" s="103"/>
      <c r="G41" s="103"/>
      <c r="H41" s="103"/>
      <c r="I41" s="89"/>
      <c r="J41" s="89"/>
      <c r="K41" s="89"/>
      <c r="L41" s="89"/>
      <c r="M41" s="89"/>
      <c r="N41" s="89"/>
      <c r="O41" s="89"/>
      <c r="P41" s="89"/>
      <c r="Q41" s="82"/>
      <c r="R41" s="90"/>
    </row>
    <row r="42" spans="1:18" ht="15.95" customHeight="1">
      <c r="A42" s="104" t="str">
        <f>IF(COUNTIF(B$4:B$29,B37)=1,"","3. Prüfungsfach in Block 1 nicht belegt!")</f>
        <v>3. Prüfungsfach in Block 1 nicht belegt!</v>
      </c>
      <c r="B42" s="105" t="str">
        <f>IF(COUNTIF(B35:B38,"Mathematik")+COUNTIF(B35:B38,"Biologie")+COUNTIF(B35:B38,"Chemie")+COUNTIF(B35:B38,"Physik")+COUNTIF(B35:B38,"Informatik")=0,"3. Aufgabenfeld fehlt!","")</f>
        <v>3. Aufgabenfeld fehlt!</v>
      </c>
      <c r="C42" s="92"/>
      <c r="D42" s="92"/>
      <c r="E42" s="103"/>
      <c r="F42" s="103"/>
      <c r="G42" s="103"/>
      <c r="H42" s="103"/>
      <c r="I42" s="89"/>
      <c r="J42" s="89"/>
      <c r="K42" s="89"/>
      <c r="L42" s="89"/>
      <c r="M42" s="89"/>
      <c r="N42" s="89"/>
      <c r="O42" s="89"/>
      <c r="P42" s="89"/>
      <c r="Q42" s="82"/>
      <c r="R42" s="90"/>
    </row>
    <row r="43" spans="1:18" ht="15.95" customHeight="1" thickBot="1">
      <c r="A43" s="107" t="str">
        <f>IF(COUNTIF(B$4:B$29,B38)=1,"","4. Prüfungsfach in Block 1 nicht belegt!")</f>
        <v>4. Prüfungsfach in Block 1 nicht belegt!</v>
      </c>
      <c r="B43" s="108" t="str">
        <f>IF(COUNTIF(B35:B38,B8)=0,"profilgeb. Fach fehlt!","")</f>
        <v>profilgeb. Fach fehlt!</v>
      </c>
      <c r="C43" s="109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1"/>
      <c r="R43" s="112"/>
    </row>
  </sheetData>
  <mergeCells count="50">
    <mergeCell ref="A4:A6"/>
    <mergeCell ref="B7:C7"/>
    <mergeCell ref="Q7:R7"/>
    <mergeCell ref="B9:C9"/>
    <mergeCell ref="B10:C10"/>
    <mergeCell ref="B20:C20"/>
    <mergeCell ref="B21:C23"/>
    <mergeCell ref="B14:C14"/>
    <mergeCell ref="C1:I1"/>
    <mergeCell ref="Q2:R2"/>
    <mergeCell ref="O3:P3"/>
    <mergeCell ref="B11:C11"/>
    <mergeCell ref="B12:C12"/>
    <mergeCell ref="B13:C13"/>
    <mergeCell ref="Q12:R12"/>
    <mergeCell ref="B15:C15"/>
    <mergeCell ref="B16:C16"/>
    <mergeCell ref="B17:C17"/>
    <mergeCell ref="B18:C18"/>
    <mergeCell ref="B19:C19"/>
    <mergeCell ref="E21:E23"/>
    <mergeCell ref="F21:F23"/>
    <mergeCell ref="G21:G23"/>
    <mergeCell ref="H21:H23"/>
    <mergeCell ref="B25:C25"/>
    <mergeCell ref="B24:C24"/>
    <mergeCell ref="B26:C26"/>
    <mergeCell ref="B27:C27"/>
    <mergeCell ref="B28:C28"/>
    <mergeCell ref="B29:C29"/>
    <mergeCell ref="F37:G37"/>
    <mergeCell ref="I37:J37"/>
    <mergeCell ref="E30:G30"/>
    <mergeCell ref="I30:K31"/>
    <mergeCell ref="C31:E31"/>
    <mergeCell ref="G31:H31"/>
    <mergeCell ref="F32:H32"/>
    <mergeCell ref="F34:G34"/>
    <mergeCell ref="I34:J34"/>
    <mergeCell ref="A30:C30"/>
    <mergeCell ref="Q32:R32"/>
    <mergeCell ref="F35:G35"/>
    <mergeCell ref="I35:J35"/>
    <mergeCell ref="F36:G36"/>
    <mergeCell ref="I36:J36"/>
    <mergeCell ref="F38:G38"/>
    <mergeCell ref="I38:J38"/>
    <mergeCell ref="C39:E39"/>
    <mergeCell ref="F39:G39"/>
    <mergeCell ref="C40:E40"/>
  </mergeCells>
  <dataValidations count="19">
    <dataValidation type="list" allowBlank="1" showInputMessage="1" showErrorMessage="1" sqref="C37:C38">
      <formula1>$AE$3:$AE$4</formula1>
    </dataValidation>
    <dataValidation type="list" showInputMessage="1" showErrorMessage="1" sqref="B14:C14">
      <formula1>$AB$3:$AB$4</formula1>
    </dataValidation>
    <dataValidation type="list" showInputMessage="1" showErrorMessage="1" sqref="B17:C17">
      <formula1>$Y$3:$Y$4</formula1>
    </dataValidation>
    <dataValidation type="list" allowBlank="1" showInputMessage="1" showErrorMessage="1" sqref="B29:C29">
      <formula1>$AD$4:$AD$5</formula1>
    </dataValidation>
    <dataValidation type="list" showInputMessage="1" showErrorMessage="1" sqref="B15:C15">
      <formula1>$V$3:$V$5</formula1>
    </dataValidation>
    <dataValidation type="list" showInputMessage="1" showErrorMessage="1" sqref="B16:C16">
      <formula1>$U$3:$U$4</formula1>
    </dataValidation>
    <dataValidation type="list" allowBlank="1" showInputMessage="1" showErrorMessage="1" sqref="B20:C20">
      <formula1>$V$3:$V$6</formula1>
    </dataValidation>
    <dataValidation type="list" allowBlank="1" showInputMessage="1" showErrorMessage="1" sqref="B25:C25">
      <formula1>$Z$3:$Z$6</formula1>
    </dataValidation>
    <dataValidation type="list" allowBlank="1" showInputMessage="1" showErrorMessage="1" sqref="B28:C28">
      <formula1>$AC$3:$AC$4</formula1>
    </dataValidation>
    <dataValidation type="list" allowBlank="1" showInputMessage="1" showErrorMessage="1" sqref="B27:C27">
      <formula1>$AA$3:$AA$5</formula1>
    </dataValidation>
    <dataValidation type="list" allowBlank="1" showInputMessage="1" showErrorMessage="1" sqref="B26:C26">
      <formula1>$AB$4:$AB$5</formula1>
    </dataValidation>
    <dataValidation type="list" allowBlank="1" showInputMessage="1" showErrorMessage="1" sqref="B21:B23">
      <formula1>$W$3:$W$11</formula1>
    </dataValidation>
    <dataValidation type="list" showInputMessage="1" showErrorMessage="1" sqref="B35">
      <formula1>$T$9:$T$14</formula1>
    </dataValidation>
    <dataValidation type="list" showInputMessage="1" showErrorMessage="1" sqref="C4:C6">
      <formula1>$AE$3:$AE$4</formula1>
    </dataValidation>
    <dataValidation type="list" showInputMessage="1" showErrorMessage="1" sqref="J15 J4:J6 J20:J21">
      <formula1>$AF$3:$AF$4</formula1>
    </dataValidation>
    <dataValidation type="list" showInputMessage="1" showErrorMessage="1" sqref="B36:B38">
      <formula1>$AG$3:$AG$21</formula1>
    </dataValidation>
    <dataValidation type="list" showInputMessage="1" showErrorMessage="1" sqref="B5">
      <formula1>T3:T6</formula1>
    </dataValidation>
    <dataValidation type="list" allowBlank="1" showInputMessage="1" showErrorMessage="1" sqref="J9">
      <formula1>$AF$3:$AF$4</formula1>
    </dataValidation>
    <dataValidation type="list" allowBlank="1" showInputMessage="1" showErrorMessage="1" sqref="B24:C24">
      <formula1>$Y$3:$Y$5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33</vt:i4>
      </vt:variant>
    </vt:vector>
  </HeadingPairs>
  <TitlesOfParts>
    <vt:vector size="44" baseType="lpstr">
      <vt:lpstr>Medien und Gesellschaft</vt:lpstr>
      <vt:lpstr>Ernährung und Umwelt</vt:lpstr>
      <vt:lpstr>Sport, Gesundheit, Fitness</vt:lpstr>
      <vt:lpstr>Seel. u. org. Entwicklung</vt:lpstr>
      <vt:lpstr>Technik, Medien und Wirtschaft</vt:lpstr>
      <vt:lpstr>System Erde</vt:lpstr>
      <vt:lpstr>Biologie- u. Umwelttechnik</vt:lpstr>
      <vt:lpstr>Gesellschaft-Geschichte-Kunst</vt:lpstr>
      <vt:lpstr>Kultur</vt:lpstr>
      <vt:lpstr>Bilinguales Profil</vt:lpstr>
      <vt:lpstr>Internationale Angelegenheiten</vt:lpstr>
      <vt:lpstr>'Bilinguales Profil'!Fremdsprache</vt:lpstr>
      <vt:lpstr>'Biologie- u. Umwelttechnik'!Fremdsprache</vt:lpstr>
      <vt:lpstr>'Ernährung und Umwelt'!Fremdsprache</vt:lpstr>
      <vt:lpstr>'Gesellschaft-Geschichte-Kunst'!Fremdsprache</vt:lpstr>
      <vt:lpstr>'Internationale Angelegenheiten'!Fremdsprache</vt:lpstr>
      <vt:lpstr>Kultur!Fremdsprache</vt:lpstr>
      <vt:lpstr>'Medien und Gesellschaft'!Fremdsprache</vt:lpstr>
      <vt:lpstr>'Seel. u. org. Entwicklung'!Fremdsprache</vt:lpstr>
      <vt:lpstr>'Sport, Gesundheit, Fitness'!Fremdsprache</vt:lpstr>
      <vt:lpstr>'System Erde'!Fremdsprache</vt:lpstr>
      <vt:lpstr>'Technik, Medien und Wirtschaft'!Fremdsprache</vt:lpstr>
      <vt:lpstr>'Bilinguales Profil'!Fremdsprache1</vt:lpstr>
      <vt:lpstr>'Biologie- u. Umwelttechnik'!Fremdsprache1</vt:lpstr>
      <vt:lpstr>'Ernährung und Umwelt'!Fremdsprache1</vt:lpstr>
      <vt:lpstr>'Gesellschaft-Geschichte-Kunst'!Fremdsprache1</vt:lpstr>
      <vt:lpstr>'Internationale Angelegenheiten'!Fremdsprache1</vt:lpstr>
      <vt:lpstr>Kultur!Fremdsprache1</vt:lpstr>
      <vt:lpstr>'Medien und Gesellschaft'!Fremdsprache1</vt:lpstr>
      <vt:lpstr>'Seel. u. org. Entwicklung'!Fremdsprache1</vt:lpstr>
      <vt:lpstr>'Sport, Gesundheit, Fitness'!Fremdsprache1</vt:lpstr>
      <vt:lpstr>'System Erde'!Fremdsprache1</vt:lpstr>
      <vt:lpstr>'Technik, Medien und Wirtschaft'!Fremdsprache1</vt:lpstr>
      <vt:lpstr>'Bilinguales Profil'!wgf.Fremdsprache</vt:lpstr>
      <vt:lpstr>'Biologie- u. Umwelttechnik'!wgf.Fremdsprache</vt:lpstr>
      <vt:lpstr>'Ernährung und Umwelt'!wgf.Fremdsprache</vt:lpstr>
      <vt:lpstr>'Gesellschaft-Geschichte-Kunst'!wgf.Fremdsprache</vt:lpstr>
      <vt:lpstr>'Internationale Angelegenheiten'!wgf.Fremdsprache</vt:lpstr>
      <vt:lpstr>Kultur!wgf.Fremdsprache</vt:lpstr>
      <vt:lpstr>'Medien und Gesellschaft'!wgf.Fremdsprache</vt:lpstr>
      <vt:lpstr>'Seel. u. org. Entwicklung'!wgf.Fremdsprache</vt:lpstr>
      <vt:lpstr>'Sport, Gesundheit, Fitness'!wgf.Fremdsprache</vt:lpstr>
      <vt:lpstr>'System Erde'!wgf.Fremdsprache</vt:lpstr>
      <vt:lpstr>'Technik, Medien und Wirtschaft'!wgf.Fremdsprache</vt:lpstr>
    </vt:vector>
  </TitlesOfParts>
  <Company>Hamburger Schulen 2007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Mönkehaus</cp:lastModifiedBy>
  <cp:lastPrinted>2009-07-10T18:20:21Z</cp:lastPrinted>
  <dcterms:created xsi:type="dcterms:W3CDTF">2009-02-11T09:44:21Z</dcterms:created>
  <dcterms:modified xsi:type="dcterms:W3CDTF">2011-11-22T14:19:05Z</dcterms:modified>
</cp:coreProperties>
</file>